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33D5045C-7101-4157-B0FE-7F307383932E}" xr6:coauthVersionLast="47" xr6:coauthVersionMax="47" xr10:uidLastSave="{00000000-0000-0000-0000-000000000000}"/>
  <bookViews>
    <workbookView xWindow="-1480" yWindow="5200" windowWidth="19090" windowHeight="9670" xr2:uid="{00000000-000D-0000-FFFF-FFFF00000000}"/>
  </bookViews>
  <sheets>
    <sheet name="OÜ TÜRI VESI 2024-203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22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D157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P158" i="2" s="1"/>
  <c r="D156" i="2"/>
  <c r="C157" i="2"/>
  <c r="E155" i="2"/>
  <c r="F155" i="2" s="1"/>
  <c r="G155" i="2" s="1"/>
  <c r="H155" i="2" s="1"/>
  <c r="I155" i="2" s="1"/>
  <c r="J155" i="2" s="1"/>
  <c r="K155" i="2" s="1"/>
  <c r="L155" i="2" s="1"/>
  <c r="M155" i="2" s="1"/>
  <c r="N155" i="2" s="1"/>
  <c r="O155" i="2" s="1"/>
  <c r="P155" i="2" s="1"/>
  <c r="O158" i="2" l="1"/>
  <c r="O159" i="2" s="1"/>
  <c r="M158" i="2"/>
  <c r="M159" i="2" s="1"/>
  <c r="E158" i="2"/>
  <c r="E159" i="2" s="1"/>
  <c r="N158" i="2"/>
  <c r="N159" i="2" s="1"/>
  <c r="F158" i="2"/>
  <c r="F159" i="2" s="1"/>
  <c r="H158" i="2"/>
  <c r="H159" i="2" s="1"/>
  <c r="G158" i="2"/>
  <c r="G159" i="2" s="1"/>
  <c r="P159" i="2"/>
  <c r="D158" i="2"/>
  <c r="D159" i="2" s="1"/>
  <c r="L158" i="2"/>
  <c r="L159" i="2" s="1"/>
  <c r="K158" i="2"/>
  <c r="K159" i="2" s="1"/>
  <c r="J158" i="2"/>
  <c r="J159" i="2" s="1"/>
  <c r="I158" i="2"/>
  <c r="I159" i="2" s="1"/>
  <c r="E151" i="2" l="1"/>
  <c r="F151" i="2"/>
  <c r="G151" i="2"/>
  <c r="H151" i="2"/>
  <c r="I151" i="2"/>
  <c r="J151" i="2"/>
  <c r="K151" i="2"/>
  <c r="L151" i="2"/>
  <c r="M151" i="2"/>
  <c r="N151" i="2"/>
  <c r="O151" i="2"/>
  <c r="P151" i="2"/>
  <c r="D151" i="2"/>
  <c r="E146" i="2"/>
  <c r="F146" i="2" s="1"/>
  <c r="G146" i="2" s="1"/>
  <c r="H146" i="2" s="1"/>
  <c r="I146" i="2" s="1"/>
  <c r="J146" i="2" s="1"/>
  <c r="K146" i="2" s="1"/>
  <c r="L146" i="2" s="1"/>
  <c r="M146" i="2" s="1"/>
  <c r="N146" i="2" s="1"/>
  <c r="O146" i="2" s="1"/>
  <c r="P146" i="2" s="1"/>
  <c r="E124" i="2"/>
  <c r="F124" i="2" s="1"/>
  <c r="G124" i="2" s="1"/>
  <c r="H124" i="2" s="1"/>
  <c r="I124" i="2" s="1"/>
  <c r="J124" i="2" s="1"/>
  <c r="K124" i="2" s="1"/>
  <c r="L124" i="2" s="1"/>
  <c r="M124" i="2" s="1"/>
  <c r="N124" i="2" s="1"/>
  <c r="O124" i="2" s="1"/>
  <c r="P124" i="2" s="1"/>
  <c r="E139" i="2"/>
  <c r="F139" i="2" s="1"/>
  <c r="G139" i="2" s="1"/>
  <c r="H139" i="2" s="1"/>
  <c r="I139" i="2" s="1"/>
  <c r="J139" i="2" s="1"/>
  <c r="K139" i="2" s="1"/>
  <c r="L139" i="2" s="1"/>
  <c r="M139" i="2" s="1"/>
  <c r="N139" i="2" s="1"/>
  <c r="O139" i="2" s="1"/>
  <c r="P139" i="2" s="1"/>
  <c r="E142" i="2" l="1"/>
  <c r="F142" i="2"/>
  <c r="G142" i="2"/>
  <c r="H142" i="2"/>
  <c r="I142" i="2"/>
  <c r="J142" i="2"/>
  <c r="K142" i="2"/>
  <c r="L142" i="2"/>
  <c r="M142" i="2"/>
  <c r="N142" i="2"/>
  <c r="O142" i="2"/>
  <c r="P142" i="2"/>
  <c r="D142" i="2"/>
  <c r="C5" i="2" l="1"/>
  <c r="C116" i="2" l="1"/>
  <c r="C94" i="2"/>
  <c r="D94" i="2" s="1"/>
  <c r="E94" i="2" s="1"/>
  <c r="F94" i="2" s="1"/>
  <c r="G94" i="2" s="1"/>
  <c r="H94" i="2" s="1"/>
  <c r="I94" i="2" s="1"/>
  <c r="J94" i="2" s="1"/>
  <c r="K94" i="2" s="1"/>
  <c r="L94" i="2" s="1"/>
  <c r="M94" i="2" s="1"/>
  <c r="N94" i="2" s="1"/>
  <c r="O94" i="2" s="1"/>
  <c r="P94" i="2" s="1"/>
  <c r="C93" i="2"/>
  <c r="D93" i="2" s="1"/>
  <c r="E93" i="2" s="1"/>
  <c r="F93" i="2" s="1"/>
  <c r="G93" i="2" s="1"/>
  <c r="H93" i="2" s="1"/>
  <c r="I93" i="2" s="1"/>
  <c r="J93" i="2" s="1"/>
  <c r="K93" i="2" s="1"/>
  <c r="L93" i="2" s="1"/>
  <c r="M93" i="2" s="1"/>
  <c r="N93" i="2" s="1"/>
  <c r="O93" i="2" s="1"/>
  <c r="P93" i="2" s="1"/>
  <c r="C92" i="2"/>
  <c r="D92" i="2" s="1"/>
  <c r="E92" i="2" s="1"/>
  <c r="F92" i="2" s="1"/>
  <c r="G92" i="2" s="1"/>
  <c r="H92" i="2" s="1"/>
  <c r="I92" i="2" s="1"/>
  <c r="J92" i="2" s="1"/>
  <c r="K92" i="2" s="1"/>
  <c r="L92" i="2" s="1"/>
  <c r="M92" i="2" s="1"/>
  <c r="N92" i="2" s="1"/>
  <c r="O92" i="2" s="1"/>
  <c r="P92" i="2" s="1"/>
  <c r="C91" i="2"/>
  <c r="D91" i="2" s="1"/>
  <c r="E91" i="2" s="1"/>
  <c r="F91" i="2" s="1"/>
  <c r="G91" i="2" s="1"/>
  <c r="H91" i="2" s="1"/>
  <c r="I91" i="2" s="1"/>
  <c r="J91" i="2" s="1"/>
  <c r="K91" i="2" s="1"/>
  <c r="L91" i="2" s="1"/>
  <c r="M91" i="2" s="1"/>
  <c r="N91" i="2" s="1"/>
  <c r="O91" i="2" s="1"/>
  <c r="P91" i="2" s="1"/>
  <c r="C89" i="2"/>
  <c r="D89" i="2" s="1"/>
  <c r="E89" i="2" s="1"/>
  <c r="F89" i="2" s="1"/>
  <c r="G89" i="2" s="1"/>
  <c r="H89" i="2" s="1"/>
  <c r="I89" i="2" s="1"/>
  <c r="J89" i="2" s="1"/>
  <c r="K89" i="2" s="1"/>
  <c r="L89" i="2" s="1"/>
  <c r="M89" i="2" s="1"/>
  <c r="N89" i="2" s="1"/>
  <c r="O89" i="2" s="1"/>
  <c r="P89" i="2" s="1"/>
  <c r="C88" i="2"/>
  <c r="D88" i="2" s="1"/>
  <c r="E88" i="2" s="1"/>
  <c r="F88" i="2" s="1"/>
  <c r="G88" i="2" s="1"/>
  <c r="H88" i="2" s="1"/>
  <c r="I88" i="2" s="1"/>
  <c r="J88" i="2" s="1"/>
  <c r="K88" i="2" s="1"/>
  <c r="L88" i="2" s="1"/>
  <c r="M88" i="2" s="1"/>
  <c r="N88" i="2" s="1"/>
  <c r="O88" i="2" s="1"/>
  <c r="P88" i="2" s="1"/>
  <c r="C87" i="2"/>
  <c r="D87" i="2" s="1"/>
  <c r="E87" i="2" s="1"/>
  <c r="F87" i="2" s="1"/>
  <c r="G87" i="2" s="1"/>
  <c r="H87" i="2" s="1"/>
  <c r="I87" i="2" s="1"/>
  <c r="J87" i="2" s="1"/>
  <c r="K87" i="2" s="1"/>
  <c r="L87" i="2" s="1"/>
  <c r="M87" i="2" s="1"/>
  <c r="N87" i="2" s="1"/>
  <c r="O87" i="2" s="1"/>
  <c r="P87" i="2" s="1"/>
  <c r="C86" i="2"/>
  <c r="D86" i="2" s="1"/>
  <c r="E86" i="2" s="1"/>
  <c r="F86" i="2" s="1"/>
  <c r="G86" i="2" s="1"/>
  <c r="H86" i="2" s="1"/>
  <c r="I86" i="2" s="1"/>
  <c r="J86" i="2" s="1"/>
  <c r="K86" i="2" s="1"/>
  <c r="L86" i="2" s="1"/>
  <c r="M86" i="2" s="1"/>
  <c r="N86" i="2" s="1"/>
  <c r="O86" i="2" s="1"/>
  <c r="P86" i="2" s="1"/>
  <c r="C84" i="2"/>
  <c r="D84" i="2" s="1"/>
  <c r="E84" i="2" s="1"/>
  <c r="F84" i="2" s="1"/>
  <c r="G84" i="2" s="1"/>
  <c r="H84" i="2" s="1"/>
  <c r="I84" i="2" s="1"/>
  <c r="J84" i="2" s="1"/>
  <c r="K84" i="2" s="1"/>
  <c r="L84" i="2" s="1"/>
  <c r="M84" i="2" s="1"/>
  <c r="N84" i="2" s="1"/>
  <c r="O84" i="2" s="1"/>
  <c r="P84" i="2" s="1"/>
  <c r="C83" i="2"/>
  <c r="D83" i="2" s="1"/>
  <c r="E83" i="2" s="1"/>
  <c r="F83" i="2" s="1"/>
  <c r="G83" i="2" s="1"/>
  <c r="H83" i="2" s="1"/>
  <c r="I83" i="2" s="1"/>
  <c r="J83" i="2" s="1"/>
  <c r="K83" i="2" s="1"/>
  <c r="L83" i="2" s="1"/>
  <c r="M83" i="2" s="1"/>
  <c r="N83" i="2" s="1"/>
  <c r="O83" i="2" s="1"/>
  <c r="P83" i="2" s="1"/>
  <c r="C82" i="2"/>
  <c r="D82" i="2" s="1"/>
  <c r="E82" i="2" s="1"/>
  <c r="F82" i="2" s="1"/>
  <c r="G82" i="2" s="1"/>
  <c r="H82" i="2" s="1"/>
  <c r="I82" i="2" s="1"/>
  <c r="J82" i="2" s="1"/>
  <c r="K82" i="2" s="1"/>
  <c r="L82" i="2" s="1"/>
  <c r="M82" i="2" s="1"/>
  <c r="N82" i="2" s="1"/>
  <c r="O82" i="2" s="1"/>
  <c r="P82" i="2" s="1"/>
  <c r="C81" i="2"/>
  <c r="D81" i="2" s="1"/>
  <c r="E81" i="2" s="1"/>
  <c r="F81" i="2" s="1"/>
  <c r="G81" i="2" s="1"/>
  <c r="H81" i="2" s="1"/>
  <c r="I81" i="2" s="1"/>
  <c r="J81" i="2" s="1"/>
  <c r="K81" i="2" s="1"/>
  <c r="L81" i="2" s="1"/>
  <c r="M81" i="2" s="1"/>
  <c r="N81" i="2" s="1"/>
  <c r="O81" i="2" s="1"/>
  <c r="P81" i="2" s="1"/>
  <c r="C79" i="2"/>
  <c r="D79" i="2" s="1"/>
  <c r="E79" i="2" s="1"/>
  <c r="F79" i="2" s="1"/>
  <c r="G79" i="2" s="1"/>
  <c r="H79" i="2" s="1"/>
  <c r="I79" i="2" s="1"/>
  <c r="J79" i="2" s="1"/>
  <c r="K79" i="2" s="1"/>
  <c r="L79" i="2" s="1"/>
  <c r="M79" i="2" s="1"/>
  <c r="N79" i="2" s="1"/>
  <c r="O79" i="2" s="1"/>
  <c r="P79" i="2" s="1"/>
  <c r="C78" i="2"/>
  <c r="D78" i="2" s="1"/>
  <c r="E78" i="2" s="1"/>
  <c r="F78" i="2" s="1"/>
  <c r="G78" i="2" s="1"/>
  <c r="H78" i="2" s="1"/>
  <c r="I78" i="2" s="1"/>
  <c r="J78" i="2" s="1"/>
  <c r="K78" i="2" s="1"/>
  <c r="L78" i="2" s="1"/>
  <c r="M78" i="2" s="1"/>
  <c r="N78" i="2" s="1"/>
  <c r="O78" i="2" s="1"/>
  <c r="P78" i="2" s="1"/>
  <c r="C77" i="2"/>
  <c r="D77" i="2" s="1"/>
  <c r="E77" i="2" s="1"/>
  <c r="F77" i="2" s="1"/>
  <c r="G77" i="2" s="1"/>
  <c r="H77" i="2" s="1"/>
  <c r="I77" i="2" s="1"/>
  <c r="J77" i="2" s="1"/>
  <c r="K77" i="2" s="1"/>
  <c r="L77" i="2" s="1"/>
  <c r="M77" i="2" s="1"/>
  <c r="N77" i="2" s="1"/>
  <c r="O77" i="2" s="1"/>
  <c r="P77" i="2" s="1"/>
  <c r="C76" i="2"/>
  <c r="D76" i="2" s="1"/>
  <c r="E76" i="2" s="1"/>
  <c r="F76" i="2" s="1"/>
  <c r="G76" i="2" s="1"/>
  <c r="H76" i="2" s="1"/>
  <c r="I76" i="2" s="1"/>
  <c r="J76" i="2" s="1"/>
  <c r="K76" i="2" s="1"/>
  <c r="L76" i="2" s="1"/>
  <c r="M76" i="2" s="1"/>
  <c r="N76" i="2" s="1"/>
  <c r="O76" i="2" s="1"/>
  <c r="P76" i="2" s="1"/>
  <c r="E40" i="2" l="1"/>
  <c r="F40" i="2"/>
  <c r="G40" i="2"/>
  <c r="H40" i="2"/>
  <c r="I40" i="2"/>
  <c r="J40" i="2"/>
  <c r="K40" i="2"/>
  <c r="L40" i="2"/>
  <c r="M40" i="2"/>
  <c r="N40" i="2"/>
  <c r="O40" i="2"/>
  <c r="P40" i="2"/>
  <c r="D40" i="2"/>
  <c r="P135" i="2" l="1"/>
  <c r="O135" i="2"/>
  <c r="N135" i="2"/>
  <c r="M135" i="2"/>
  <c r="L135" i="2"/>
  <c r="K135" i="2"/>
  <c r="J135" i="2"/>
  <c r="I135" i="2"/>
  <c r="H135" i="2"/>
  <c r="G135" i="2"/>
  <c r="F135" i="2"/>
  <c r="E135" i="2"/>
  <c r="D135" i="2"/>
  <c r="B135" i="2"/>
  <c r="D116" i="2"/>
  <c r="E116" i="2" s="1"/>
  <c r="F116" i="2" s="1"/>
  <c r="G116" i="2" s="1"/>
  <c r="H116" i="2" s="1"/>
  <c r="I116" i="2" s="1"/>
  <c r="J116" i="2" s="1"/>
  <c r="K116" i="2" s="1"/>
  <c r="L116" i="2" s="1"/>
  <c r="M116" i="2" s="1"/>
  <c r="N116" i="2" s="1"/>
  <c r="O116" i="2" s="1"/>
  <c r="P116" i="2" s="1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D111" i="2"/>
  <c r="C111" i="2"/>
  <c r="C110" i="2"/>
  <c r="D109" i="2"/>
  <c r="C109" i="2"/>
  <c r="C108" i="2"/>
  <c r="C117" i="2" s="1"/>
  <c r="C106" i="2"/>
  <c r="D106" i="2" s="1"/>
  <c r="E106" i="2" s="1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C74" i="2"/>
  <c r="E74" i="2" s="1"/>
  <c r="F74" i="2" s="1"/>
  <c r="G74" i="2" s="1"/>
  <c r="H74" i="2" s="1"/>
  <c r="I74" i="2" s="1"/>
  <c r="J74" i="2" s="1"/>
  <c r="K74" i="2" s="1"/>
  <c r="L74" i="2" s="1"/>
  <c r="M74" i="2" s="1"/>
  <c r="N74" i="2" s="1"/>
  <c r="O74" i="2" s="1"/>
  <c r="P74" i="2" s="1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44" i="2"/>
  <c r="D44" i="2" s="1"/>
  <c r="E44" i="2" s="1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C31" i="2"/>
  <c r="B31" i="2"/>
  <c r="C30" i="2"/>
  <c r="B30" i="2"/>
  <c r="C29" i="2"/>
  <c r="N27" i="2"/>
  <c r="J27" i="2"/>
  <c r="F27" i="2"/>
  <c r="C27" i="2"/>
  <c r="C9" i="2"/>
  <c r="D9" i="2" s="1"/>
  <c r="E9" i="2" s="1"/>
  <c r="B23" i="2"/>
  <c r="B9" i="2" s="1"/>
  <c r="B22" i="2"/>
  <c r="D1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B10" i="2" s="1"/>
  <c r="P27" i="2"/>
  <c r="O27" i="2"/>
  <c r="M27" i="2"/>
  <c r="L27" i="2"/>
  <c r="K27" i="2"/>
  <c r="I27" i="2"/>
  <c r="H27" i="2"/>
  <c r="G27" i="2"/>
  <c r="E27" i="2"/>
  <c r="D27" i="2"/>
  <c r="C12" i="2"/>
  <c r="D12" i="2" s="1"/>
  <c r="B12" i="2"/>
  <c r="C11" i="2"/>
  <c r="D11" i="2" s="1"/>
  <c r="E11" i="2" s="1"/>
  <c r="B11" i="2"/>
  <c r="C10" i="2"/>
  <c r="D10" i="2" s="1"/>
  <c r="E10" i="2" s="1"/>
  <c r="F10" i="2" s="1"/>
  <c r="G10" i="2" s="1"/>
  <c r="H10" i="2" s="1"/>
  <c r="I10" i="2" s="1"/>
  <c r="J10" i="2" s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P5" i="2"/>
  <c r="O5" i="2"/>
  <c r="N5" i="2"/>
  <c r="M5" i="2"/>
  <c r="L5" i="2"/>
  <c r="K5" i="2"/>
  <c r="J5" i="2"/>
  <c r="I5" i="2"/>
  <c r="H5" i="2"/>
  <c r="G5" i="2"/>
  <c r="F5" i="2"/>
  <c r="E5" i="2"/>
  <c r="D5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C118" i="2" l="1"/>
  <c r="C119" i="2" s="1"/>
  <c r="C120" i="2" s="1"/>
  <c r="C156" i="2"/>
  <c r="C158" i="2" s="1"/>
  <c r="C159" i="2" s="1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D31" i="2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B36" i="2"/>
  <c r="B141" i="2" s="1"/>
  <c r="D29" i="2"/>
  <c r="E29" i="2" s="1"/>
  <c r="D33" i="2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C36" i="2"/>
  <c r="C133" i="2" s="1"/>
  <c r="D110" i="2"/>
  <c r="D118" i="2" s="1"/>
  <c r="D108" i="2"/>
  <c r="E108" i="2"/>
  <c r="C8" i="2"/>
  <c r="D8" i="2" s="1"/>
  <c r="E8" i="2" s="1"/>
  <c r="F111" i="2"/>
  <c r="C135" i="2"/>
  <c r="E109" i="2"/>
  <c r="E111" i="2"/>
  <c r="F11" i="2"/>
  <c r="E25" i="2"/>
  <c r="E12" i="2"/>
  <c r="D26" i="2"/>
  <c r="E24" i="2"/>
  <c r="F24" i="2"/>
  <c r="D23" i="2"/>
  <c r="D24" i="2"/>
  <c r="F109" i="2"/>
  <c r="D25" i="2"/>
  <c r="G109" i="2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B8" i="2"/>
  <c r="D22" i="2" l="1"/>
  <c r="D36" i="2" s="1"/>
  <c r="E22" i="2"/>
  <c r="E117" i="2"/>
  <c r="D117" i="2"/>
  <c r="D96" i="2"/>
  <c r="D122" i="2"/>
  <c r="F29" i="2"/>
  <c r="E110" i="2"/>
  <c r="E118" i="2" s="1"/>
  <c r="B133" i="2"/>
  <c r="C141" i="2"/>
  <c r="F108" i="2"/>
  <c r="G108" i="2"/>
  <c r="H24" i="2"/>
  <c r="G111" i="2"/>
  <c r="F9" i="2"/>
  <c r="E23" i="2"/>
  <c r="F12" i="2"/>
  <c r="E26" i="2"/>
  <c r="F110" i="2"/>
  <c r="F118" i="2" s="1"/>
  <c r="F8" i="2"/>
  <c r="H108" i="2"/>
  <c r="K10" i="2"/>
  <c r="J24" i="2"/>
  <c r="C140" i="2"/>
  <c r="C132" i="2"/>
  <c r="C134" i="2" s="1"/>
  <c r="B140" i="2"/>
  <c r="B132" i="2"/>
  <c r="H109" i="2"/>
  <c r="I24" i="2"/>
  <c r="G24" i="2"/>
  <c r="G11" i="2"/>
  <c r="F25" i="2"/>
  <c r="D132" i="2" l="1"/>
  <c r="D147" i="2"/>
  <c r="D42" i="2"/>
  <c r="D97" i="2" s="1"/>
  <c r="D149" i="2"/>
  <c r="E119" i="2"/>
  <c r="E120" i="2" s="1"/>
  <c r="D119" i="2"/>
  <c r="D120" i="2" s="1"/>
  <c r="G117" i="2"/>
  <c r="F117" i="2"/>
  <c r="F96" i="2"/>
  <c r="E96" i="2"/>
  <c r="E36" i="2"/>
  <c r="E122" i="2"/>
  <c r="D140" i="2"/>
  <c r="D125" i="2"/>
  <c r="G29" i="2"/>
  <c r="B134" i="2"/>
  <c r="F122" i="2"/>
  <c r="I108" i="2"/>
  <c r="D141" i="2"/>
  <c r="D133" i="2"/>
  <c r="D126" i="2"/>
  <c r="I109" i="2"/>
  <c r="C143" i="2"/>
  <c r="C144" i="2"/>
  <c r="B143" i="2"/>
  <c r="B144" i="2"/>
  <c r="F22" i="2"/>
  <c r="G8" i="2"/>
  <c r="G25" i="2"/>
  <c r="H11" i="2"/>
  <c r="F23" i="2"/>
  <c r="G9" i="2"/>
  <c r="G12" i="2"/>
  <c r="F26" i="2"/>
  <c r="L10" i="2"/>
  <c r="K24" i="2"/>
  <c r="G110" i="2"/>
  <c r="G96" i="2" s="1"/>
  <c r="H111" i="2"/>
  <c r="H117" i="2"/>
  <c r="D134" i="2" l="1"/>
  <c r="D152" i="2"/>
  <c r="D153" i="2" s="1"/>
  <c r="E153" i="2" s="1"/>
  <c r="E132" i="2"/>
  <c r="E147" i="2"/>
  <c r="F132" i="2"/>
  <c r="F147" i="2"/>
  <c r="E42" i="2"/>
  <c r="E97" i="2" s="1"/>
  <c r="E149" i="2"/>
  <c r="F119" i="2"/>
  <c r="F120" i="2" s="1"/>
  <c r="D127" i="2"/>
  <c r="D129" i="2" s="1"/>
  <c r="E140" i="2"/>
  <c r="E125" i="2"/>
  <c r="F36" i="2"/>
  <c r="F140" i="2"/>
  <c r="F125" i="2"/>
  <c r="H29" i="2"/>
  <c r="G118" i="2"/>
  <c r="G119" i="2" s="1"/>
  <c r="G122" i="2"/>
  <c r="G147" i="2" s="1"/>
  <c r="H110" i="2"/>
  <c r="H96" i="2" s="1"/>
  <c r="H25" i="2"/>
  <c r="I11" i="2"/>
  <c r="D143" i="2"/>
  <c r="D144" i="2"/>
  <c r="G22" i="2"/>
  <c r="H8" i="2"/>
  <c r="J108" i="2"/>
  <c r="I117" i="2"/>
  <c r="H12" i="2"/>
  <c r="G26" i="2"/>
  <c r="G23" i="2"/>
  <c r="H9" i="2"/>
  <c r="J109" i="2"/>
  <c r="E133" i="2"/>
  <c r="E126" i="2"/>
  <c r="E141" i="2"/>
  <c r="L24" i="2"/>
  <c r="M10" i="2"/>
  <c r="I111" i="2"/>
  <c r="E152" i="2" l="1"/>
  <c r="F153" i="2" s="1"/>
  <c r="E134" i="2"/>
  <c r="F42" i="2"/>
  <c r="F97" i="2" s="1"/>
  <c r="F149" i="2"/>
  <c r="F152" i="2" s="1"/>
  <c r="G120" i="2"/>
  <c r="F133" i="2"/>
  <c r="F134" i="2" s="1"/>
  <c r="F126" i="2"/>
  <c r="F127" i="2" s="1"/>
  <c r="F129" i="2" s="1"/>
  <c r="E143" i="2"/>
  <c r="E127" i="2"/>
  <c r="E129" i="2" s="1"/>
  <c r="G36" i="2"/>
  <c r="I29" i="2"/>
  <c r="F141" i="2"/>
  <c r="F144" i="2" s="1"/>
  <c r="E144" i="2"/>
  <c r="N10" i="2"/>
  <c r="M24" i="2"/>
  <c r="J111" i="2"/>
  <c r="I25" i="2"/>
  <c r="J11" i="2"/>
  <c r="K109" i="2"/>
  <c r="J117" i="2"/>
  <c r="I110" i="2"/>
  <c r="I96" i="2" s="1"/>
  <c r="K108" i="2"/>
  <c r="H23" i="2"/>
  <c r="I9" i="2"/>
  <c r="H22" i="2"/>
  <c r="I8" i="2"/>
  <c r="H118" i="2"/>
  <c r="H122" i="2"/>
  <c r="H147" i="2" s="1"/>
  <c r="I12" i="2"/>
  <c r="H26" i="2"/>
  <c r="G132" i="2"/>
  <c r="G125" i="2"/>
  <c r="G140" i="2"/>
  <c r="G153" i="2" l="1"/>
  <c r="G42" i="2"/>
  <c r="G97" i="2" s="1"/>
  <c r="G149" i="2"/>
  <c r="G152" i="2" s="1"/>
  <c r="H119" i="2"/>
  <c r="H120" i="2" s="1"/>
  <c r="H36" i="2"/>
  <c r="J29" i="2"/>
  <c r="F143" i="2"/>
  <c r="L108" i="2"/>
  <c r="K11" i="2"/>
  <c r="J25" i="2"/>
  <c r="G133" i="2"/>
  <c r="G134" i="2" s="1"/>
  <c r="G126" i="2"/>
  <c r="G127" i="2" s="1"/>
  <c r="G129" i="2" s="1"/>
  <c r="G141" i="2"/>
  <c r="G144" i="2" s="1"/>
  <c r="K117" i="2"/>
  <c r="J110" i="2"/>
  <c r="J96" i="2" s="1"/>
  <c r="I118" i="2"/>
  <c r="I122" i="2"/>
  <c r="I147" i="2" s="1"/>
  <c r="K111" i="2"/>
  <c r="L109" i="2"/>
  <c r="I22" i="2"/>
  <c r="J8" i="2"/>
  <c r="I26" i="2"/>
  <c r="J12" i="2"/>
  <c r="H125" i="2"/>
  <c r="H140" i="2"/>
  <c r="H132" i="2"/>
  <c r="J9" i="2"/>
  <c r="I23" i="2"/>
  <c r="N24" i="2"/>
  <c r="O10" i="2"/>
  <c r="H153" i="2" l="1"/>
  <c r="H42" i="2"/>
  <c r="H97" i="2" s="1"/>
  <c r="H149" i="2"/>
  <c r="H152" i="2" s="1"/>
  <c r="I119" i="2"/>
  <c r="I120" i="2" s="1"/>
  <c r="I36" i="2"/>
  <c r="K29" i="2"/>
  <c r="I140" i="2"/>
  <c r="I132" i="2"/>
  <c r="I125" i="2"/>
  <c r="M109" i="2"/>
  <c r="P10" i="2"/>
  <c r="P24" i="2" s="1"/>
  <c r="O24" i="2"/>
  <c r="K110" i="2"/>
  <c r="K96" i="2" s="1"/>
  <c r="H133" i="2"/>
  <c r="H134" i="2" s="1"/>
  <c r="H126" i="2"/>
  <c r="H127" i="2" s="1"/>
  <c r="H129" i="2" s="1"/>
  <c r="H141" i="2"/>
  <c r="H144" i="2" s="1"/>
  <c r="J118" i="2"/>
  <c r="J122" i="2"/>
  <c r="J147" i="2" s="1"/>
  <c r="J22" i="2"/>
  <c r="K8" i="2"/>
  <c r="G143" i="2"/>
  <c r="L11" i="2"/>
  <c r="K25" i="2"/>
  <c r="J26" i="2"/>
  <c r="K12" i="2"/>
  <c r="L111" i="2"/>
  <c r="J23" i="2"/>
  <c r="K9" i="2"/>
  <c r="M108" i="2"/>
  <c r="L117" i="2"/>
  <c r="I153" i="2" l="1"/>
  <c r="I42" i="2"/>
  <c r="I97" i="2" s="1"/>
  <c r="I149" i="2"/>
  <c r="I152" i="2" s="1"/>
  <c r="J119" i="2"/>
  <c r="J120" i="2" s="1"/>
  <c r="J36" i="2"/>
  <c r="H143" i="2"/>
  <c r="L29" i="2"/>
  <c r="K26" i="2"/>
  <c r="L12" i="2"/>
  <c r="M11" i="2"/>
  <c r="L25" i="2"/>
  <c r="N109" i="2"/>
  <c r="K118" i="2"/>
  <c r="K122" i="2"/>
  <c r="K147" i="2" s="1"/>
  <c r="N108" i="2"/>
  <c r="J140" i="2"/>
  <c r="J132" i="2"/>
  <c r="J125" i="2"/>
  <c r="I126" i="2"/>
  <c r="I127" i="2" s="1"/>
  <c r="I129" i="2" s="1"/>
  <c r="I141" i="2"/>
  <c r="I143" i="2" s="1"/>
  <c r="I133" i="2"/>
  <c r="I134" i="2" s="1"/>
  <c r="L8" i="2"/>
  <c r="K22" i="2"/>
  <c r="M111" i="2"/>
  <c r="M117" i="2"/>
  <c r="L9" i="2"/>
  <c r="K23" i="2"/>
  <c r="L110" i="2"/>
  <c r="L96" i="2" s="1"/>
  <c r="J153" i="2" l="1"/>
  <c r="J42" i="2"/>
  <c r="J97" i="2" s="1"/>
  <c r="J149" i="2"/>
  <c r="J152" i="2" s="1"/>
  <c r="K119" i="2"/>
  <c r="K120" i="2" s="1"/>
  <c r="K36" i="2"/>
  <c r="M29" i="2"/>
  <c r="I144" i="2"/>
  <c r="N11" i="2"/>
  <c r="M25" i="2"/>
  <c r="L22" i="2"/>
  <c r="M8" i="2"/>
  <c r="J141" i="2"/>
  <c r="J143" i="2" s="1"/>
  <c r="J133" i="2"/>
  <c r="J134" i="2" s="1"/>
  <c r="J126" i="2"/>
  <c r="J127" i="2" s="1"/>
  <c r="J129" i="2" s="1"/>
  <c r="P108" i="2"/>
  <c r="O108" i="2"/>
  <c r="M12" i="2"/>
  <c r="L26" i="2"/>
  <c r="M9" i="2"/>
  <c r="L23" i="2"/>
  <c r="P109" i="2"/>
  <c r="O109" i="2"/>
  <c r="N117" i="2"/>
  <c r="M110" i="2"/>
  <c r="M96" i="2" s="1"/>
  <c r="L118" i="2"/>
  <c r="L122" i="2"/>
  <c r="L147" i="2" s="1"/>
  <c r="N111" i="2"/>
  <c r="K140" i="2"/>
  <c r="K132" i="2"/>
  <c r="K125" i="2"/>
  <c r="K153" i="2" l="1"/>
  <c r="K42" i="2"/>
  <c r="K97" i="2" s="1"/>
  <c r="K149" i="2"/>
  <c r="K152" i="2" s="1"/>
  <c r="L119" i="2"/>
  <c r="L120" i="2" s="1"/>
  <c r="L36" i="2"/>
  <c r="L141" i="2" s="1"/>
  <c r="N29" i="2"/>
  <c r="P117" i="2"/>
  <c r="N110" i="2"/>
  <c r="N96" i="2" s="1"/>
  <c r="N9" i="2"/>
  <c r="M23" i="2"/>
  <c r="O11" i="2"/>
  <c r="N25" i="2"/>
  <c r="J144" i="2"/>
  <c r="M118" i="2"/>
  <c r="M122" i="2"/>
  <c r="M147" i="2" s="1"/>
  <c r="N12" i="2"/>
  <c r="M26" i="2"/>
  <c r="K141" i="2"/>
  <c r="K143" i="2" s="1"/>
  <c r="K133" i="2"/>
  <c r="K134" i="2" s="1"/>
  <c r="K126" i="2"/>
  <c r="K127" i="2" s="1"/>
  <c r="K129" i="2" s="1"/>
  <c r="L132" i="2"/>
  <c r="L125" i="2"/>
  <c r="L140" i="2"/>
  <c r="O111" i="2"/>
  <c r="P111" i="2"/>
  <c r="O117" i="2"/>
  <c r="M22" i="2"/>
  <c r="N8" i="2"/>
  <c r="L153" i="2" l="1"/>
  <c r="L42" i="2"/>
  <c r="L97" i="2" s="1"/>
  <c r="L149" i="2"/>
  <c r="L152" i="2" s="1"/>
  <c r="L126" i="2"/>
  <c r="L127" i="2" s="1"/>
  <c r="L129" i="2" s="1"/>
  <c r="L133" i="2"/>
  <c r="L134" i="2" s="1"/>
  <c r="M36" i="2"/>
  <c r="M119" i="2"/>
  <c r="M120" i="2" s="1"/>
  <c r="O29" i="2"/>
  <c r="K144" i="2"/>
  <c r="O12" i="2"/>
  <c r="N26" i="2"/>
  <c r="O25" i="2"/>
  <c r="P11" i="2"/>
  <c r="P25" i="2" s="1"/>
  <c r="M132" i="2"/>
  <c r="M125" i="2"/>
  <c r="M140" i="2"/>
  <c r="L143" i="2"/>
  <c r="L144" i="2"/>
  <c r="N23" i="2"/>
  <c r="O9" i="2"/>
  <c r="N22" i="2"/>
  <c r="O8" i="2"/>
  <c r="P110" i="2"/>
  <c r="P96" i="2" s="1"/>
  <c r="O110" i="2"/>
  <c r="O96" i="2" s="1"/>
  <c r="N118" i="2"/>
  <c r="N122" i="2"/>
  <c r="N147" i="2" s="1"/>
  <c r="M153" i="2" l="1"/>
  <c r="M42" i="2"/>
  <c r="M97" i="2" s="1"/>
  <c r="M149" i="2"/>
  <c r="M152" i="2" s="1"/>
  <c r="M126" i="2"/>
  <c r="M127" i="2" s="1"/>
  <c r="M129" i="2" s="1"/>
  <c r="M141" i="2"/>
  <c r="M143" i="2" s="1"/>
  <c r="M133" i="2"/>
  <c r="M134" i="2" s="1"/>
  <c r="N119" i="2"/>
  <c r="N120" i="2" s="1"/>
  <c r="N36" i="2"/>
  <c r="P29" i="2"/>
  <c r="O23" i="2"/>
  <c r="P9" i="2"/>
  <c r="P23" i="2" s="1"/>
  <c r="P118" i="2"/>
  <c r="P122" i="2"/>
  <c r="P147" i="2" s="1"/>
  <c r="N132" i="2"/>
  <c r="N125" i="2"/>
  <c r="N140" i="2"/>
  <c r="O118" i="2"/>
  <c r="O122" i="2"/>
  <c r="O147" i="2" s="1"/>
  <c r="O22" i="2"/>
  <c r="P8" i="2"/>
  <c r="P22" i="2" s="1"/>
  <c r="P12" i="2"/>
  <c r="P26" i="2" s="1"/>
  <c r="O26" i="2"/>
  <c r="N153" i="2" l="1"/>
  <c r="M144" i="2"/>
  <c r="N42" i="2"/>
  <c r="N97" i="2" s="1"/>
  <c r="N149" i="2"/>
  <c r="N152" i="2" s="1"/>
  <c r="O36" i="2"/>
  <c r="P119" i="2"/>
  <c r="P120" i="2" s="1"/>
  <c r="O119" i="2"/>
  <c r="O120" i="2" s="1"/>
  <c r="P36" i="2"/>
  <c r="P125" i="2"/>
  <c r="P140" i="2"/>
  <c r="P132" i="2"/>
  <c r="N133" i="2"/>
  <c r="N134" i="2" s="1"/>
  <c r="N126" i="2"/>
  <c r="N127" i="2" s="1"/>
  <c r="N129" i="2" s="1"/>
  <c r="N141" i="2"/>
  <c r="N144" i="2" s="1"/>
  <c r="O132" i="2"/>
  <c r="O125" i="2"/>
  <c r="O140" i="2"/>
  <c r="O153" i="2" l="1"/>
  <c r="P42" i="2"/>
  <c r="P97" i="2" s="1"/>
  <c r="P149" i="2"/>
  <c r="P152" i="2" s="1"/>
  <c r="O42" i="2"/>
  <c r="O97" i="2" s="1"/>
  <c r="O149" i="2"/>
  <c r="O152" i="2" s="1"/>
  <c r="O141" i="2"/>
  <c r="O143" i="2" s="1"/>
  <c r="O133" i="2"/>
  <c r="O134" i="2" s="1"/>
  <c r="N143" i="2"/>
  <c r="O126" i="2"/>
  <c r="O127" i="2" s="1"/>
  <c r="O129" i="2" s="1"/>
  <c r="P133" i="2"/>
  <c r="P134" i="2" s="1"/>
  <c r="P126" i="2"/>
  <c r="P127" i="2" s="1"/>
  <c r="P129" i="2" s="1"/>
  <c r="P141" i="2"/>
  <c r="P143" i="2" s="1"/>
  <c r="P153" i="2" l="1"/>
  <c r="O144" i="2"/>
  <c r="P144" i="2"/>
</calcChain>
</file>

<file path=xl/sharedStrings.xml><?xml version="1.0" encoding="utf-8"?>
<sst xmlns="http://schemas.openxmlformats.org/spreadsheetml/2006/main" count="140" uniqueCount="97">
  <si>
    <t>Hinnamuutuse indeks</t>
  </si>
  <si>
    <t>Vee-erikasutustasu</t>
  </si>
  <si>
    <t>Tööjõukulu muutuse indeks</t>
  </si>
  <si>
    <t>TOOTMISMAHUD</t>
  </si>
  <si>
    <t>MUUTUVKULUD</t>
  </si>
  <si>
    <t>PÜSIKULUD</t>
  </si>
  <si>
    <t>Tööjõukulu</t>
  </si>
  <si>
    <t>TEGEVUSKULUD KOKKU</t>
  </si>
  <si>
    <t>ELANIKUD (VESI)</t>
  </si>
  <si>
    <t>ELANIKUD (REOVESI)</t>
  </si>
  <si>
    <t>Reovee saastetasu</t>
  </si>
  <si>
    <t>VESI MÜÜDUD KOKKU</t>
  </si>
  <si>
    <t>REOVESI MÜÜDUD KOKKU</t>
  </si>
  <si>
    <t>TEGEVUSKULUDE JA LAENUKATTKORDAJA TÄITMINE</t>
  </si>
  <si>
    <t>TEGEVUSTULUD</t>
  </si>
  <si>
    <t>ABONENTTULUD</t>
  </si>
  <si>
    <t>Koondhinnamuutusindeks</t>
  </si>
  <si>
    <t>Elektrikulu reoveepuhasti ja -pumplad</t>
  </si>
  <si>
    <t>Elektrikulu joogiveevarustus</t>
  </si>
  <si>
    <t xml:space="preserve">Muud kulud </t>
  </si>
  <si>
    <t>Administratiivkulud</t>
  </si>
  <si>
    <t>FINANTSKOHUSTUSED</t>
  </si>
  <si>
    <t>TULUD KOKKU</t>
  </si>
  <si>
    <t>RAHAVOOG ENNE LAENUTEENINDUST</t>
  </si>
  <si>
    <t>LAENUKATTEKORDAJA</t>
  </si>
  <si>
    <t>TEGEVUSKULUD</t>
  </si>
  <si>
    <t>Leibkonnaliikme keskmine sissetulek kuus</t>
  </si>
  <si>
    <t>Teenuste kulu kuus keskmisel ühiktarbimisel</t>
  </si>
  <si>
    <t>Teenuse kulukus (%)</t>
  </si>
  <si>
    <t>OMAKAPITALI KULUM</t>
  </si>
  <si>
    <t>VEEMAJANDUSE EBITDA</t>
  </si>
  <si>
    <t>VEEMAJANDUSE TULEMINÄITAJAD</t>
  </si>
  <si>
    <t>TEGEVUSKULUD (KULUMITA)</t>
  </si>
  <si>
    <t>ÜHISVEEVÄRGITEENUS ASUTUSED</t>
  </si>
  <si>
    <t>REOVEETEENUS ASUTUSED</t>
  </si>
  <si>
    <t>REOVEETEENUS ELANIKUD</t>
  </si>
  <si>
    <t>ÜHISVEEVÄRGITEENUS ELANIKUD</t>
  </si>
  <si>
    <t>Elanike keskmine vee ühiktarbimine l/p/in</t>
  </si>
  <si>
    <t>Majapidamistarbijate arv: ühiskanalisatsioon</t>
  </si>
  <si>
    <t>Elanike keskmine reovee ühiktarbimine l/p/in</t>
  </si>
  <si>
    <t>MUUD ÜVK TULUD</t>
  </si>
  <si>
    <t>Reovesi reoveepuhastitesse (m3)</t>
  </si>
  <si>
    <t>Kemikaalide ühikukulu veetöötlus</t>
  </si>
  <si>
    <t xml:space="preserve">Kaalutud keskmine elanike veetariif </t>
  </si>
  <si>
    <t xml:space="preserve">Kaalutud keskmine elanike reoveetariif </t>
  </si>
  <si>
    <t>VEEMAJANDUSE EBIT (OMAKAP.KULUMi KATMINE)</t>
  </si>
  <si>
    <t>JURIIDILISED ISIKUD, VESI</t>
  </si>
  <si>
    <t>JURIIDILISED ISIKUD, REOVESI</t>
  </si>
  <si>
    <t xml:space="preserve">Põhivararendi ühikukulu </t>
  </si>
  <si>
    <t>Põhivara rent</t>
  </si>
  <si>
    <t>KOONDMÜÜGIMAHUD RENDIKULU ARVESTUSEKS</t>
  </si>
  <si>
    <t>Reoveeteenus (m3)</t>
  </si>
  <si>
    <t>Ühisveevärgiteenus (m3)</t>
  </si>
  <si>
    <r>
      <t>MÜÜGIMAHT TARIIFIPIIRKONDADES (M</t>
    </r>
    <r>
      <rPr>
        <b/>
        <sz val="11"/>
        <color theme="1"/>
        <rFont val="Calibri"/>
        <family val="2"/>
        <charset val="186"/>
      </rPr>
      <t>³)</t>
    </r>
  </si>
  <si>
    <t>TARIIFIPRK 1 (TÜRI, TÜRI ALLIKU, SÄREVERE)</t>
  </si>
  <si>
    <r>
      <t>TARIIFID TARIIFIPIIRKONDADES m</t>
    </r>
    <r>
      <rPr>
        <b/>
        <sz val="11"/>
        <color theme="1"/>
        <rFont val="Calibri"/>
        <family val="2"/>
        <charset val="186"/>
      </rPr>
      <t>³</t>
    </r>
    <r>
      <rPr>
        <b/>
        <sz val="11"/>
        <color theme="1"/>
        <rFont val="Calibri"/>
        <family val="2"/>
        <charset val="186"/>
        <scheme val="minor"/>
      </rPr>
      <t xml:space="preserve"> kohta käibemaksuta</t>
    </r>
  </si>
  <si>
    <t>TARIIFIPRK 3 (KABALA, KAHALA)</t>
  </si>
  <si>
    <t>TARIIFIPRK 2 (OISU, TAIKSE)</t>
  </si>
  <si>
    <t>TARIIFIPRK 4 (KIRNA, POAKA, LAUPA, KÄRU, VÄÄTSA, LÕÕLA, REOPALU, PIIUMETSA, RÖA)</t>
  </si>
  <si>
    <t>Veetoodang: ressursitasu arvestus (m3)</t>
  </si>
  <si>
    <t>Veetoodang: tehnilised ühikukulud (m3)</t>
  </si>
  <si>
    <t>Masinate ja kütuse kulud</t>
  </si>
  <si>
    <t>Hooldus (sh.kaubad, toore sisseost), vesi</t>
  </si>
  <si>
    <t>Hooldus (sh.kaubad, toore, sisseost), kanal.</t>
  </si>
  <si>
    <t>Kemikaalid</t>
  </si>
  <si>
    <t>Sihtfinantseeringutevälise põhivara kulum</t>
  </si>
  <si>
    <t>Põhjendatud tulukus varadelt (WACC väärtusel 6,28%)</t>
  </si>
  <si>
    <t>Põhivara jääkmaksumus põhjendatud tulususe arvestamiseks</t>
  </si>
  <si>
    <t>Teenustariifi arvestatavate kulu- ja tulususkomponentide summa</t>
  </si>
  <si>
    <t>TARIIFIDE PROGNOOSTULU KOKKU</t>
  </si>
  <si>
    <t>Tariifitulu elanikelt (vesi)</t>
  </si>
  <si>
    <t>Tariifitulu ettevõtetelt (vesi)</t>
  </si>
  <si>
    <t>Tariifitulu elanikelt (reovesi)</t>
  </si>
  <si>
    <t>Tariifitulu ettevõtetelt (reovesi)</t>
  </si>
  <si>
    <t>PÕHJENDATUD TULUD (KONKURENTSIAMETI METOD.)</t>
  </si>
  <si>
    <t>ELANIKUD, VESI</t>
  </si>
  <si>
    <t>ELANIKUD, REOVESI</t>
  </si>
  <si>
    <t>RAHAVOOG (EBITDA) ENNE LAENUTEENINDUST</t>
  </si>
  <si>
    <t>LAENUKATTKORDAJA ARVESTUS</t>
  </si>
  <si>
    <t>JUR ISIKUD (VESI)</t>
  </si>
  <si>
    <t>JUR ISIKUD (REOVESI)</t>
  </si>
  <si>
    <t>VEEMAJANDUSE RAHAVOOGUDE PROGNOOS</t>
  </si>
  <si>
    <t>SISSETULEKUD: TEGEVUSTULUD</t>
  </si>
  <si>
    <t>SISSETULEKUD: LAENUDE VÕTMINE</t>
  </si>
  <si>
    <t>VÄLJAMINEKUD: TEGEVUSKULUD</t>
  </si>
  <si>
    <t xml:space="preserve">VÄLJAMINEKUD: INVESTEERINGUD </t>
  </si>
  <si>
    <t>RAHAVOOG</t>
  </si>
  <si>
    <t>KUMULATIIVNE RAHAVOOG AL 2024</t>
  </si>
  <si>
    <t>VÄLJAMINEKUD: FINANTSKOHUSTUSED</t>
  </si>
  <si>
    <t>INVESTEERINGUD</t>
  </si>
  <si>
    <t>INVESTEERINGUD LAENUGA</t>
  </si>
  <si>
    <t>OMAVAHENDID</t>
  </si>
  <si>
    <t>VEEMAJANDUSE INVESTEERINGUTE FINANTSEERIMINE</t>
  </si>
  <si>
    <t xml:space="preserve">OMAVAHENDITE KASUTUS, % INVESTEERINGUTEST </t>
  </si>
  <si>
    <t>Majapidamistarbijate arv: ühisveevärk</t>
  </si>
  <si>
    <t xml:space="preserve">LISA 2. Veemajanduse tulude, kulude, teenusekulukuse ja rahavoo analüüs </t>
  </si>
  <si>
    <t>TÜRI VESI OÜ KONSOLIDEERIMISJÄRGNE TEGEVUS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</si>
</sst>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2" fontId="9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164" fontId="9" fillId="2" borderId="0" xfId="0" applyNumberFormat="1" applyFont="1" applyFill="1" applyAlignment="1">
      <alignment horizontal="center"/>
    </xf>
    <xf numFmtId="0" fontId="0" fillId="2" borderId="0" xfId="0" applyFill="1"/>
    <xf numFmtId="1" fontId="10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7" fillId="2" borderId="1" xfId="0" applyFont="1" applyFill="1" applyBorder="1"/>
    <xf numFmtId="0" fontId="7" fillId="2" borderId="0" xfId="0" applyFont="1" applyFill="1"/>
    <xf numFmtId="0" fontId="10" fillId="2" borderId="0" xfId="0" applyFont="1" applyFill="1"/>
    <xf numFmtId="1" fontId="0" fillId="2" borderId="0" xfId="0" applyNumberFormat="1" applyFill="1"/>
    <xf numFmtId="2" fontId="8" fillId="2" borderId="1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>
      <alignment horizontal="center"/>
    </xf>
    <xf numFmtId="1" fontId="0" fillId="0" borderId="0" xfId="0" applyNumberFormat="1"/>
    <xf numFmtId="1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2" fontId="0" fillId="2" borderId="1" xfId="0" quotePrefix="1" applyNumberFormat="1" applyFill="1" applyBorder="1" applyAlignment="1">
      <alignment horizontal="center"/>
    </xf>
    <xf numFmtId="10" fontId="7" fillId="2" borderId="1" xfId="1" applyNumberFormat="1" applyFont="1" applyFill="1" applyBorder="1" applyAlignment="1">
      <alignment horizontal="center"/>
    </xf>
    <xf numFmtId="0" fontId="6" fillId="2" borderId="1" xfId="0" applyFont="1" applyFill="1" applyBorder="1"/>
    <xf numFmtId="1" fontId="8" fillId="2" borderId="0" xfId="0" applyNumberFormat="1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165" fontId="14" fillId="2" borderId="1" xfId="1" applyNumberFormat="1" applyFont="1" applyFill="1" applyBorder="1" applyAlignment="1">
      <alignment horizontal="center"/>
    </xf>
    <xf numFmtId="0" fontId="4" fillId="2" borderId="1" xfId="0" applyFont="1" applyFill="1" applyBorder="1"/>
    <xf numFmtId="1" fontId="17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9" fillId="2" borderId="1" xfId="3" applyNumberFormat="1" applyFont="1" applyFill="1" applyBorder="1" applyAlignment="1">
      <alignment horizontal="center"/>
    </xf>
    <xf numFmtId="165" fontId="9" fillId="0" borderId="1" xfId="3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0" xfId="0" applyFont="1"/>
    <xf numFmtId="1" fontId="9" fillId="0" borderId="1" xfId="0" applyNumberFormat="1" applyFont="1" applyBorder="1" applyAlignment="1">
      <alignment horizontal="center"/>
    </xf>
    <xf numFmtId="0" fontId="1" fillId="0" borderId="0" xfId="0" applyFont="1"/>
    <xf numFmtId="1" fontId="18" fillId="0" borderId="1" xfId="0" applyNumberFormat="1" applyFont="1" applyBorder="1" applyAlignment="1">
      <alignment horizontal="center"/>
    </xf>
    <xf numFmtId="1" fontId="18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19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0" fontId="19" fillId="0" borderId="0" xfId="0" applyFont="1"/>
    <xf numFmtId="1" fontId="19" fillId="0" borderId="1" xfId="0" applyNumberFormat="1" applyFont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1" fontId="19" fillId="2" borderId="0" xfId="0" applyNumberFormat="1" applyFont="1" applyFill="1"/>
    <xf numFmtId="1" fontId="19" fillId="0" borderId="0" xfId="0" applyNumberFormat="1" applyFont="1"/>
    <xf numFmtId="0" fontId="19" fillId="2" borderId="0" xfId="0" applyFont="1" applyFill="1"/>
    <xf numFmtId="1" fontId="21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164" fontId="21" fillId="2" borderId="1" xfId="0" applyNumberFormat="1" applyFont="1" applyFill="1" applyBorder="1" applyAlignment="1">
      <alignment horizontal="center"/>
    </xf>
    <xf numFmtId="0" fontId="20" fillId="0" borderId="0" xfId="0" applyFont="1"/>
    <xf numFmtId="165" fontId="10" fillId="0" borderId="1" xfId="5" applyNumberFormat="1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1" fontId="22" fillId="2" borderId="1" xfId="1" applyNumberFormat="1" applyFont="1" applyFill="1" applyBorder="1" applyAlignment="1">
      <alignment horizontal="center"/>
    </xf>
    <xf numFmtId="1" fontId="23" fillId="2" borderId="1" xfId="1" applyNumberFormat="1" applyFont="1" applyFill="1" applyBorder="1" applyAlignment="1">
      <alignment horizontal="center"/>
    </xf>
    <xf numFmtId="1" fontId="23" fillId="2" borderId="3" xfId="1" applyNumberFormat="1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  <xf numFmtId="166" fontId="10" fillId="2" borderId="1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9" fillId="2" borderId="1" xfId="0" quotePrefix="1" applyNumberFormat="1" applyFont="1" applyFill="1" applyBorder="1" applyAlignment="1">
      <alignment horizontal="center"/>
    </xf>
    <xf numFmtId="2" fontId="10" fillId="2" borderId="1" xfId="0" quotePrefix="1" applyNumberFormat="1" applyFont="1" applyFill="1" applyBorder="1" applyAlignment="1">
      <alignment horizontal="center"/>
    </xf>
    <xf numFmtId="10" fontId="24" fillId="2" borderId="1" xfId="1" applyNumberFormat="1" applyFont="1" applyFill="1" applyBorder="1" applyAlignment="1">
      <alignment horizontal="center"/>
    </xf>
    <xf numFmtId="10" fontId="8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10" fillId="2" borderId="1" xfId="0" applyFont="1" applyFill="1" applyBorder="1"/>
    <xf numFmtId="0" fontId="10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9" fontId="10" fillId="0" borderId="1" xfId="1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5" fillId="0" borderId="1" xfId="0" applyFont="1" applyBorder="1"/>
    <xf numFmtId="0" fontId="14" fillId="0" borderId="1" xfId="0" applyFont="1" applyBorder="1"/>
    <xf numFmtId="0" fontId="9" fillId="0" borderId="1" xfId="0" applyFont="1" applyBorder="1"/>
    <xf numFmtId="0" fontId="8" fillId="0" borderId="2" xfId="0" applyFont="1" applyBorder="1"/>
    <xf numFmtId="0" fontId="9" fillId="0" borderId="2" xfId="0" applyFont="1" applyBorder="1"/>
    <xf numFmtId="0" fontId="8" fillId="0" borderId="1" xfId="0" applyFont="1" applyBorder="1"/>
    <xf numFmtId="0" fontId="10" fillId="0" borderId="1" xfId="0" applyFont="1" applyBorder="1"/>
    <xf numFmtId="0" fontId="10" fillId="0" borderId="0" xfId="0" applyFont="1"/>
    <xf numFmtId="0" fontId="11" fillId="0" borderId="1" xfId="0" applyFont="1" applyBorder="1"/>
    <xf numFmtId="0" fontId="7" fillId="0" borderId="1" xfId="0" applyFont="1" applyBorder="1"/>
    <xf numFmtId="0" fontId="7" fillId="0" borderId="0" xfId="0" applyFont="1"/>
    <xf numFmtId="0" fontId="1" fillId="0" borderId="1" xfId="0" applyFont="1" applyBorder="1"/>
    <xf numFmtId="0" fontId="3" fillId="0" borderId="1" xfId="0" applyFont="1" applyBorder="1"/>
    <xf numFmtId="0" fontId="20" fillId="0" borderId="1" xfId="0" applyFont="1" applyBorder="1"/>
  </cellXfs>
  <cellStyles count="7">
    <cellStyle name="Normaallaad 2" xfId="5" xr:uid="{A4D3E4B3-2970-43DE-B274-E5FAB0131943}"/>
    <cellStyle name="Normaallaad 4" xfId="2" xr:uid="{00000000-0005-0000-0000-000000000000}"/>
    <cellStyle name="Normal" xfId="0" builtinId="0"/>
    <cellStyle name="Normal 2" xfId="3" xr:uid="{00000000-0005-0000-0000-000002000000}"/>
    <cellStyle name="Percent" xfId="1" builtinId="5"/>
    <cellStyle name="Percent 2" xfId="4" xr:uid="{00000000-0005-0000-0000-000004000000}"/>
    <cellStyle name="Protsent 2" xfId="6" xr:uid="{56187100-B403-47A7-B3B7-3149303A88C7}"/>
  </cellStyles>
  <dxfs count="1">
    <dxf>
      <fill>
        <patternFill>
          <bgColor rgb="FFF2F2F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5423-49AE-4E53-ABC3-0B14BA8FF529}">
  <dimension ref="A1:S159"/>
  <sheetViews>
    <sheetView tabSelected="1" zoomScaleNormal="100" workbookViewId="0">
      <selection activeCell="G10" sqref="G10"/>
    </sheetView>
  </sheetViews>
  <sheetFormatPr defaultRowHeight="14.5" x14ac:dyDescent="0.35"/>
  <cols>
    <col min="1" max="1" width="50.6328125" customWidth="1"/>
    <col min="2" max="2" width="8.984375E-2" hidden="1" customWidth="1"/>
    <col min="3" max="3" width="3.36328125" hidden="1" customWidth="1"/>
    <col min="4" max="16" width="8.08984375" bestFit="1" customWidth="1"/>
    <col min="18" max="18" width="11.1796875" customWidth="1"/>
  </cols>
  <sheetData>
    <row r="1" spans="1:19" x14ac:dyDescent="0.35">
      <c r="A1" s="65" t="s">
        <v>95</v>
      </c>
    </row>
    <row r="3" spans="1:19" x14ac:dyDescent="0.35">
      <c r="A3" s="90" t="s">
        <v>96</v>
      </c>
      <c r="B3" s="25">
        <v>2022</v>
      </c>
      <c r="C3" s="25">
        <f>B3+1</f>
        <v>2023</v>
      </c>
      <c r="D3" s="89">
        <f t="shared" ref="D3:P3" si="0">C3+1</f>
        <v>2024</v>
      </c>
      <c r="E3" s="89">
        <f t="shared" si="0"/>
        <v>2025</v>
      </c>
      <c r="F3" s="89">
        <f t="shared" si="0"/>
        <v>2026</v>
      </c>
      <c r="G3" s="89">
        <f t="shared" si="0"/>
        <v>2027</v>
      </c>
      <c r="H3" s="89">
        <f t="shared" si="0"/>
        <v>2028</v>
      </c>
      <c r="I3" s="89">
        <f t="shared" si="0"/>
        <v>2029</v>
      </c>
      <c r="J3" s="89">
        <f t="shared" si="0"/>
        <v>2030</v>
      </c>
      <c r="K3" s="89">
        <f t="shared" si="0"/>
        <v>2031</v>
      </c>
      <c r="L3" s="89">
        <f t="shared" si="0"/>
        <v>2032</v>
      </c>
      <c r="M3" s="89">
        <f t="shared" si="0"/>
        <v>2033</v>
      </c>
      <c r="N3" s="89">
        <f t="shared" si="0"/>
        <v>2034</v>
      </c>
      <c r="O3" s="89">
        <f t="shared" si="0"/>
        <v>2035</v>
      </c>
      <c r="P3" s="89">
        <f t="shared" si="0"/>
        <v>2036</v>
      </c>
    </row>
    <row r="4" spans="1:19" ht="13.75" customHeight="1" x14ac:dyDescent="0.35">
      <c r="A4" s="91" t="s">
        <v>0</v>
      </c>
      <c r="B4" s="26"/>
      <c r="C4" s="66">
        <v>9.5600000000000004E-2</v>
      </c>
      <c r="D4" s="66">
        <v>4.6300000000000001E-2</v>
      </c>
      <c r="E4" s="31">
        <v>2.4899999999999999E-2</v>
      </c>
      <c r="F4" s="31">
        <v>1.7399999999999999E-2</v>
      </c>
      <c r="G4" s="31">
        <v>1.9099999999999999E-2</v>
      </c>
      <c r="H4" s="32">
        <v>0.02</v>
      </c>
      <c r="I4" s="32">
        <v>0.02</v>
      </c>
      <c r="J4" s="32">
        <v>0.02</v>
      </c>
      <c r="K4" s="32">
        <v>0.02</v>
      </c>
      <c r="L4" s="32">
        <v>0.02</v>
      </c>
      <c r="M4" s="32">
        <v>0.02</v>
      </c>
      <c r="N4" s="32">
        <v>0.02</v>
      </c>
      <c r="O4" s="32">
        <v>0.02</v>
      </c>
      <c r="P4" s="32">
        <v>0.02</v>
      </c>
    </row>
    <row r="5" spans="1:19" ht="0.65" hidden="1" customHeight="1" x14ac:dyDescent="0.35">
      <c r="A5" s="91" t="s">
        <v>2</v>
      </c>
      <c r="B5" s="26"/>
      <c r="C5" s="26">
        <f t="shared" ref="C5:P5" si="1">C4</f>
        <v>9.5600000000000004E-2</v>
      </c>
      <c r="D5" s="26">
        <f t="shared" si="1"/>
        <v>4.6300000000000001E-2</v>
      </c>
      <c r="E5" s="26">
        <f t="shared" si="1"/>
        <v>2.4899999999999999E-2</v>
      </c>
      <c r="F5" s="26">
        <f t="shared" si="1"/>
        <v>1.7399999999999999E-2</v>
      </c>
      <c r="G5" s="26">
        <f t="shared" si="1"/>
        <v>1.9099999999999999E-2</v>
      </c>
      <c r="H5" s="26">
        <f t="shared" si="1"/>
        <v>0.02</v>
      </c>
      <c r="I5" s="26">
        <f t="shared" si="1"/>
        <v>0.02</v>
      </c>
      <c r="J5" s="26">
        <f t="shared" si="1"/>
        <v>0.02</v>
      </c>
      <c r="K5" s="26">
        <f t="shared" si="1"/>
        <v>0.02</v>
      </c>
      <c r="L5" s="26">
        <f t="shared" si="1"/>
        <v>0.02</v>
      </c>
      <c r="M5" s="26">
        <f t="shared" si="1"/>
        <v>0.02</v>
      </c>
      <c r="N5" s="26">
        <f t="shared" si="1"/>
        <v>0.02</v>
      </c>
      <c r="O5" s="26">
        <f t="shared" si="1"/>
        <v>0.02</v>
      </c>
      <c r="P5" s="26">
        <f t="shared" si="1"/>
        <v>0.02</v>
      </c>
    </row>
    <row r="6" spans="1:19" ht="15.75" hidden="1" customHeight="1" x14ac:dyDescent="0.35">
      <c r="A6" s="92" t="s">
        <v>16</v>
      </c>
      <c r="B6" s="1">
        <v>1</v>
      </c>
      <c r="C6" s="1">
        <f>B6*(1+C4%)</f>
        <v>1.000956</v>
      </c>
      <c r="D6" s="1">
        <f t="shared" ref="D6:M6" si="2">C6*(1+D4%)</f>
        <v>1.0014194426280001</v>
      </c>
      <c r="E6" s="1">
        <f t="shared" si="2"/>
        <v>1.0016687960692143</v>
      </c>
      <c r="F6" s="1">
        <f t="shared" si="2"/>
        <v>1.0018430864397303</v>
      </c>
      <c r="G6" s="1">
        <f t="shared" si="2"/>
        <v>1.0020344384692403</v>
      </c>
      <c r="H6" s="1">
        <f t="shared" si="2"/>
        <v>1.0022348453569341</v>
      </c>
      <c r="I6" s="1">
        <f t="shared" si="2"/>
        <v>1.0024352923260054</v>
      </c>
      <c r="J6" s="1">
        <f t="shared" si="2"/>
        <v>1.0026357793844705</v>
      </c>
      <c r="K6" s="1">
        <f t="shared" si="2"/>
        <v>1.0028363065403474</v>
      </c>
      <c r="L6" s="1">
        <f t="shared" si="2"/>
        <v>1.0030368738016555</v>
      </c>
      <c r="M6" s="1">
        <f t="shared" si="2"/>
        <v>1.0032374811764158</v>
      </c>
      <c r="N6" s="4"/>
      <c r="O6" s="4"/>
    </row>
    <row r="7" spans="1:19" ht="12" customHeight="1" x14ac:dyDescent="0.35">
      <c r="A7" s="9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4"/>
      <c r="O7" s="4"/>
    </row>
    <row r="8" spans="1:19" x14ac:dyDescent="0.35">
      <c r="A8" s="92" t="s">
        <v>18</v>
      </c>
      <c r="B8" s="42">
        <f>B22/B15</f>
        <v>0.38162799273444531</v>
      </c>
      <c r="C8" s="42">
        <f>C22/C15</f>
        <v>0.46854603290821795</v>
      </c>
      <c r="D8" s="35">
        <f>C8*1.025</f>
        <v>0.48025968373092337</v>
      </c>
      <c r="E8" s="35">
        <f>D8*1.02</f>
        <v>0.48986487740554185</v>
      </c>
      <c r="F8" s="35">
        <f t="shared" ref="F8:P8" si="3">E8*(1+F4)</f>
        <v>0.49838852627239832</v>
      </c>
      <c r="G8" s="35">
        <f t="shared" si="3"/>
        <v>0.50790774712420106</v>
      </c>
      <c r="H8" s="35">
        <f t="shared" si="3"/>
        <v>0.51806590206668512</v>
      </c>
      <c r="I8" s="35">
        <f t="shared" si="3"/>
        <v>0.52842722010801879</v>
      </c>
      <c r="J8" s="35">
        <f t="shared" si="3"/>
        <v>0.53899576451017917</v>
      </c>
      <c r="K8" s="35">
        <f t="shared" si="3"/>
        <v>0.54977567980038278</v>
      </c>
      <c r="L8" s="35">
        <f t="shared" si="3"/>
        <v>0.56077119339639048</v>
      </c>
      <c r="M8" s="35">
        <f t="shared" si="3"/>
        <v>0.57198661726431832</v>
      </c>
      <c r="N8" s="35">
        <f t="shared" si="3"/>
        <v>0.58342634960960471</v>
      </c>
      <c r="O8" s="35">
        <f t="shared" si="3"/>
        <v>0.59509487660179683</v>
      </c>
      <c r="P8" s="35">
        <f t="shared" si="3"/>
        <v>0.60699677413383279</v>
      </c>
    </row>
    <row r="9" spans="1:19" x14ac:dyDescent="0.35">
      <c r="A9" s="92" t="s">
        <v>17</v>
      </c>
      <c r="B9" s="42">
        <f>B23/B17</f>
        <v>0.2281502231205903</v>
      </c>
      <c r="C9" s="42">
        <f>C23/C17</f>
        <v>0.28061192830925269</v>
      </c>
      <c r="D9" s="35">
        <f>C9*1.025</f>
        <v>0.28762722651698397</v>
      </c>
      <c r="E9" s="35">
        <f>D9*1.02</f>
        <v>0.29337977104732366</v>
      </c>
      <c r="F9" s="35">
        <f t="shared" ref="F9:P9" si="4">E9*(1+F4)</f>
        <v>0.29848457906354714</v>
      </c>
      <c r="G9" s="35">
        <f t="shared" si="4"/>
        <v>0.30418563452366087</v>
      </c>
      <c r="H9" s="35">
        <f t="shared" si="4"/>
        <v>0.31026934721413407</v>
      </c>
      <c r="I9" s="35">
        <f t="shared" si="4"/>
        <v>0.31647473415841676</v>
      </c>
      <c r="J9" s="35">
        <f t="shared" si="4"/>
        <v>0.32280422884158511</v>
      </c>
      <c r="K9" s="35">
        <f t="shared" si="4"/>
        <v>0.32926031341841683</v>
      </c>
      <c r="L9" s="35">
        <f t="shared" si="4"/>
        <v>0.33584551968678517</v>
      </c>
      <c r="M9" s="35">
        <f t="shared" si="4"/>
        <v>0.3425624300805209</v>
      </c>
      <c r="N9" s="35">
        <f t="shared" si="4"/>
        <v>0.3494136786821313</v>
      </c>
      <c r="O9" s="35">
        <f t="shared" si="4"/>
        <v>0.35640195225577392</v>
      </c>
      <c r="P9" s="35">
        <f t="shared" si="4"/>
        <v>0.36352999130088942</v>
      </c>
    </row>
    <row r="10" spans="1:19" x14ac:dyDescent="0.35">
      <c r="A10" s="92" t="s">
        <v>1</v>
      </c>
      <c r="B10" s="42">
        <f>B24/B15</f>
        <v>8.4156453593501102E-2</v>
      </c>
      <c r="C10" s="42">
        <f>C24/C15</f>
        <v>9.67559024294527E-2</v>
      </c>
      <c r="D10" s="35">
        <f>C10*(1+D4)</f>
        <v>0.10123570071193636</v>
      </c>
      <c r="E10" s="35">
        <f t="shared" ref="E10:J10" si="5">D10*(1+E4)</f>
        <v>0.10375646965966356</v>
      </c>
      <c r="F10" s="35">
        <f t="shared" si="5"/>
        <v>0.10556183223174172</v>
      </c>
      <c r="G10" s="35">
        <f t="shared" si="5"/>
        <v>0.10757806322736797</v>
      </c>
      <c r="H10" s="35">
        <f t="shared" si="5"/>
        <v>0.10972962449191534</v>
      </c>
      <c r="I10" s="35">
        <f t="shared" si="5"/>
        <v>0.11192421698175364</v>
      </c>
      <c r="J10" s="35">
        <f t="shared" si="5"/>
        <v>0.11416270132138871</v>
      </c>
      <c r="K10" s="35">
        <f t="shared" ref="K10:P10" si="6">J10*(1+K4)</f>
        <v>0.11644595534781649</v>
      </c>
      <c r="L10" s="35">
        <f t="shared" si="6"/>
        <v>0.11877487445477282</v>
      </c>
      <c r="M10" s="35">
        <f t="shared" si="6"/>
        <v>0.12115037194386828</v>
      </c>
      <c r="N10" s="35">
        <f t="shared" si="6"/>
        <v>0.12357337938274565</v>
      </c>
      <c r="O10" s="35">
        <f t="shared" si="6"/>
        <v>0.12604484697040055</v>
      </c>
      <c r="P10" s="35">
        <f t="shared" si="6"/>
        <v>0.12856574390980857</v>
      </c>
    </row>
    <row r="11" spans="1:19" x14ac:dyDescent="0.35">
      <c r="A11" s="92" t="s">
        <v>10</v>
      </c>
      <c r="B11" s="42">
        <f>B25/B17</f>
        <v>4.4561531134818054E-2</v>
      </c>
      <c r="C11" s="42">
        <f>C25/C17</f>
        <v>4.5478313479081316E-2</v>
      </c>
      <c r="D11" s="35">
        <f t="shared" ref="D11:P11" si="7">C11*(1+D4)</f>
        <v>4.7583959393162782E-2</v>
      </c>
      <c r="E11" s="35">
        <f t="shared" si="7"/>
        <v>4.8768799982052531E-2</v>
      </c>
      <c r="F11" s="35">
        <f t="shared" si="7"/>
        <v>4.9617377101740252E-2</v>
      </c>
      <c r="G11" s="35">
        <f t="shared" si="7"/>
        <v>5.0565069004383484E-2</v>
      </c>
      <c r="H11" s="35">
        <f t="shared" si="7"/>
        <v>5.1576370384471153E-2</v>
      </c>
      <c r="I11" s="35">
        <f t="shared" si="7"/>
        <v>5.2607897792160574E-2</v>
      </c>
      <c r="J11" s="35">
        <f t="shared" si="7"/>
        <v>5.3660055748003789E-2</v>
      </c>
      <c r="K11" s="35">
        <f t="shared" si="7"/>
        <v>5.4733256862963868E-2</v>
      </c>
      <c r="L11" s="35">
        <f t="shared" si="7"/>
        <v>5.5827922000223143E-2</v>
      </c>
      <c r="M11" s="35">
        <f t="shared" si="7"/>
        <v>5.694448044022761E-2</v>
      </c>
      <c r="N11" s="35">
        <f t="shared" si="7"/>
        <v>5.8083370049032162E-2</v>
      </c>
      <c r="O11" s="35">
        <f t="shared" si="7"/>
        <v>5.9245037450012805E-2</v>
      </c>
      <c r="P11" s="35">
        <f t="shared" si="7"/>
        <v>6.0429938199013065E-2</v>
      </c>
    </row>
    <row r="12" spans="1:19" x14ac:dyDescent="0.35">
      <c r="A12" s="92" t="s">
        <v>42</v>
      </c>
      <c r="B12" s="47">
        <f>B26/(B16+B17)</f>
        <v>6.2498893407740451E-3</v>
      </c>
      <c r="C12" s="47">
        <f>C26/(C16+C17)</f>
        <v>1.0016949073689085E-2</v>
      </c>
      <c r="D12" s="44">
        <f t="shared" ref="D12:P12" si="8">C12*(1+D4)</f>
        <v>1.0480733815800889E-2</v>
      </c>
      <c r="E12" s="44">
        <f t="shared" si="8"/>
        <v>1.074170408781433E-2</v>
      </c>
      <c r="F12" s="44">
        <f t="shared" si="8"/>
        <v>1.09286097389423E-2</v>
      </c>
      <c r="G12" s="44">
        <f t="shared" si="8"/>
        <v>1.1137346184956097E-2</v>
      </c>
      <c r="H12" s="44">
        <f t="shared" si="8"/>
        <v>1.1360093108655218E-2</v>
      </c>
      <c r="I12" s="44">
        <f t="shared" si="8"/>
        <v>1.1587294970828324E-2</v>
      </c>
      <c r="J12" s="44">
        <f t="shared" si="8"/>
        <v>1.1819040870244891E-2</v>
      </c>
      <c r="K12" s="44">
        <f t="shared" si="8"/>
        <v>1.205542168764979E-2</v>
      </c>
      <c r="L12" s="44">
        <f t="shared" si="8"/>
        <v>1.2296530121402785E-2</v>
      </c>
      <c r="M12" s="44">
        <f t="shared" si="8"/>
        <v>1.2542460723830841E-2</v>
      </c>
      <c r="N12" s="44">
        <f t="shared" si="8"/>
        <v>1.2793309938307457E-2</v>
      </c>
      <c r="O12" s="44">
        <f t="shared" si="8"/>
        <v>1.3049176137073607E-2</v>
      </c>
      <c r="P12" s="44">
        <f t="shared" si="8"/>
        <v>1.331015965981508E-2</v>
      </c>
    </row>
    <row r="13" spans="1:19" x14ac:dyDescent="0.35">
      <c r="A13" s="92" t="s">
        <v>48</v>
      </c>
      <c r="B13" s="48">
        <v>0.44</v>
      </c>
      <c r="C13" s="48">
        <v>0.44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29"/>
      <c r="S13" s="41"/>
    </row>
    <row r="14" spans="1:19" x14ac:dyDescent="0.35">
      <c r="A14" s="93" t="s">
        <v>3</v>
      </c>
      <c r="B14" s="49"/>
      <c r="C14" s="49"/>
      <c r="D14" s="36"/>
      <c r="E14" s="36"/>
      <c r="F14" s="36"/>
      <c r="G14" s="36"/>
      <c r="H14" s="36"/>
      <c r="I14" s="36"/>
      <c r="J14" s="36"/>
      <c r="K14" s="36"/>
      <c r="L14" s="36"/>
      <c r="M14" s="36"/>
      <c r="S14" s="41"/>
    </row>
    <row r="15" spans="1:19" x14ac:dyDescent="0.35">
      <c r="A15" s="92" t="s">
        <v>59</v>
      </c>
      <c r="B15" s="50">
        <f>B16*0.98</f>
        <v>242524.35943398805</v>
      </c>
      <c r="C15" s="50">
        <f t="shared" ref="C15:P15" si="9">C16*0.98</f>
        <v>243520.02728908122</v>
      </c>
      <c r="D15" s="37">
        <f>D16*0.98</f>
        <v>244514.70362847802</v>
      </c>
      <c r="E15" s="37">
        <f t="shared" si="9"/>
        <v>245501.55644370566</v>
      </c>
      <c r="F15" s="37">
        <f t="shared" si="9"/>
        <v>246452.13227232895</v>
      </c>
      <c r="G15" s="37">
        <f t="shared" si="9"/>
        <v>247371.69119867237</v>
      </c>
      <c r="H15" s="37">
        <f t="shared" si="9"/>
        <v>248138.86457364366</v>
      </c>
      <c r="I15" s="37">
        <f t="shared" si="9"/>
        <v>248984.25515128931</v>
      </c>
      <c r="J15" s="37">
        <f t="shared" si="9"/>
        <v>250463.0879695508</v>
      </c>
      <c r="K15" s="37">
        <f t="shared" si="9"/>
        <v>251179.1324267076</v>
      </c>
      <c r="L15" s="37">
        <f t="shared" si="9"/>
        <v>250917.62021888563</v>
      </c>
      <c r="M15" s="37">
        <f t="shared" si="9"/>
        <v>249813.93425126665</v>
      </c>
      <c r="N15" s="37">
        <f t="shared" si="9"/>
        <v>250345.89992493589</v>
      </c>
      <c r="O15" s="37">
        <f t="shared" si="9"/>
        <v>251368.94799643906</v>
      </c>
      <c r="P15" s="37">
        <f t="shared" si="9"/>
        <v>251765.6087751631</v>
      </c>
      <c r="S15" s="41"/>
    </row>
    <row r="16" spans="1:19" x14ac:dyDescent="0.35">
      <c r="A16" s="92" t="s">
        <v>60</v>
      </c>
      <c r="B16" s="50">
        <v>247473.83615713066</v>
      </c>
      <c r="C16" s="50">
        <v>248489.8237643686</v>
      </c>
      <c r="D16" s="37">
        <v>249504.79962089594</v>
      </c>
      <c r="E16" s="37">
        <v>250511.79228949558</v>
      </c>
      <c r="F16" s="37">
        <v>251481.76762482547</v>
      </c>
      <c r="G16" s="37">
        <v>252420.09305986977</v>
      </c>
      <c r="H16" s="37">
        <v>253202.92303433028</v>
      </c>
      <c r="I16" s="37">
        <v>254065.56648090747</v>
      </c>
      <c r="J16" s="37">
        <v>255574.57956076614</v>
      </c>
      <c r="K16" s="37">
        <v>256305.23717010979</v>
      </c>
      <c r="L16" s="37">
        <v>256038.38797845473</v>
      </c>
      <c r="M16" s="37">
        <v>254912.17780741496</v>
      </c>
      <c r="N16" s="37">
        <v>255454.99992340399</v>
      </c>
      <c r="O16" s="37">
        <v>256498.92652697864</v>
      </c>
      <c r="P16" s="37">
        <v>256903.68242363582</v>
      </c>
    </row>
    <row r="17" spans="1:19" x14ac:dyDescent="0.35">
      <c r="A17" s="92" t="s">
        <v>41</v>
      </c>
      <c r="B17" s="50">
        <v>569500.62876477547</v>
      </c>
      <c r="C17" s="50">
        <v>570821.5194026673</v>
      </c>
      <c r="D17" s="37">
        <v>582313.33029031835</v>
      </c>
      <c r="E17" s="37">
        <v>583518.45897406002</v>
      </c>
      <c r="F17" s="37">
        <v>514170.9861898321</v>
      </c>
      <c r="G17" s="37">
        <v>515077.09473154787</v>
      </c>
      <c r="H17" s="37">
        <v>497185.37298758869</v>
      </c>
      <c r="I17" s="37">
        <v>497894.81786182412</v>
      </c>
      <c r="J17" s="37">
        <v>499402.48549962917</v>
      </c>
      <c r="K17" s="37">
        <v>500316.05510959768</v>
      </c>
      <c r="L17" s="37">
        <v>500633.46345807373</v>
      </c>
      <c r="M17" s="37">
        <v>500716.00240124168</v>
      </c>
      <c r="N17" s="37">
        <v>500852.24325391406</v>
      </c>
      <c r="O17" s="37">
        <v>501303.60331680049</v>
      </c>
      <c r="P17" s="37">
        <v>501184.18738508062</v>
      </c>
    </row>
    <row r="18" spans="1:19" x14ac:dyDescent="0.35">
      <c r="A18" s="93" t="s">
        <v>50</v>
      </c>
      <c r="B18" s="49"/>
      <c r="C18" s="4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  <c r="O18" s="38"/>
      <c r="P18" s="38"/>
    </row>
    <row r="19" spans="1:19" x14ac:dyDescent="0.35">
      <c r="A19" s="92" t="s">
        <v>52</v>
      </c>
      <c r="B19" s="51">
        <v>234496.54</v>
      </c>
      <c r="C19" s="50">
        <v>235459.60278458209</v>
      </c>
      <c r="D19" s="37">
        <v>236421.4100521756</v>
      </c>
      <c r="E19" s="37">
        <v>237375.34818678515</v>
      </c>
      <c r="F19" s="37">
        <v>238293.89275700753</v>
      </c>
      <c r="G19" s="37">
        <v>239182.12541724462</v>
      </c>
      <c r="H19" s="37">
        <v>240902.5016501818</v>
      </c>
      <c r="I19" s="37">
        <v>241719.81757996202</v>
      </c>
      <c r="J19" s="37">
        <v>243186.88877356934</v>
      </c>
      <c r="K19" s="37">
        <v>243878.01679076863</v>
      </c>
      <c r="L19" s="37">
        <v>244497.30868717431</v>
      </c>
      <c r="M19" s="37">
        <v>244994.18157945311</v>
      </c>
      <c r="N19" s="37">
        <v>245521.77035986664</v>
      </c>
      <c r="O19" s="37">
        <v>246481.11073702859</v>
      </c>
      <c r="P19" s="37">
        <v>246875.74965221155</v>
      </c>
    </row>
    <row r="20" spans="1:19" x14ac:dyDescent="0.35">
      <c r="A20" s="92" t="s">
        <v>51</v>
      </c>
      <c r="B20" s="51">
        <v>256181.11400000006</v>
      </c>
      <c r="C20" s="50">
        <v>256783.74305430689</v>
      </c>
      <c r="D20" s="37">
        <v>261305.15553749973</v>
      </c>
      <c r="E20" s="37">
        <v>261814.74178242782</v>
      </c>
      <c r="F20" s="37">
        <v>262284.41378014238</v>
      </c>
      <c r="G20" s="37">
        <v>262719.64315050031</v>
      </c>
      <c r="H20" s="37">
        <v>263982.45816299156</v>
      </c>
      <c r="I20" s="37">
        <v>264330.21364108537</v>
      </c>
      <c r="J20" s="37">
        <v>265044.36007446836</v>
      </c>
      <c r="K20" s="37">
        <v>265473.019683739</v>
      </c>
      <c r="L20" s="37">
        <v>265613.08787653904</v>
      </c>
      <c r="M20" s="37">
        <v>265628.25414561946</v>
      </c>
      <c r="N20" s="37">
        <v>265672.99075258197</v>
      </c>
      <c r="O20" s="37">
        <v>266148.08402659447</v>
      </c>
      <c r="P20" s="37">
        <v>266057.76546359772</v>
      </c>
    </row>
    <row r="21" spans="1:19" x14ac:dyDescent="0.35">
      <c r="A21" s="93" t="s">
        <v>4</v>
      </c>
      <c r="B21" s="52"/>
      <c r="C21" s="53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9" x14ac:dyDescent="0.35">
      <c r="A22" s="92" t="s">
        <v>18</v>
      </c>
      <c r="B22" s="51">
        <f>0.416*222485.78</f>
        <v>92554.08447999999</v>
      </c>
      <c r="C22" s="51">
        <f>0.416*274279.67</f>
        <v>114100.34271999999</v>
      </c>
      <c r="D22" s="37">
        <f t="shared" ref="D22:P23" si="10">D8*D16</f>
        <v>119827.09615527889</v>
      </c>
      <c r="E22" s="37">
        <f t="shared" si="10"/>
        <v>122716.92841853632</v>
      </c>
      <c r="F22" s="37">
        <f t="shared" si="10"/>
        <v>125335.62755091451</v>
      </c>
      <c r="G22" s="37">
        <f t="shared" si="10"/>
        <v>128206.12079491964</v>
      </c>
      <c r="H22" s="37">
        <f t="shared" si="10"/>
        <v>131175.80072770175</v>
      </c>
      <c r="I22" s="37">
        <f t="shared" si="10"/>
        <v>134255.16102067498</v>
      </c>
      <c r="J22" s="37">
        <f t="shared" si="10"/>
        <v>137753.61589972276</v>
      </c>
      <c r="K22" s="37">
        <f t="shared" si="10"/>
        <v>140910.38600159544</v>
      </c>
      <c r="L22" s="37">
        <f t="shared" si="10"/>
        <v>143578.95238196608</v>
      </c>
      <c r="M22" s="37">
        <f t="shared" si="10"/>
        <v>145806.35428354371</v>
      </c>
      <c r="N22" s="37">
        <f t="shared" si="10"/>
        <v>149039.17809483345</v>
      </c>
      <c r="O22" s="37">
        <f t="shared" si="10"/>
        <v>152641.1970300657</v>
      </c>
      <c r="P22" s="37">
        <f t="shared" si="10"/>
        <v>155939.70649424958</v>
      </c>
    </row>
    <row r="23" spans="1:19" x14ac:dyDescent="0.35">
      <c r="A23" s="92" t="s">
        <v>17</v>
      </c>
      <c r="B23" s="51">
        <f>0.584*222485.78</f>
        <v>129931.69551999999</v>
      </c>
      <c r="C23" s="51">
        <f>0.584*274279.67</f>
        <v>160179.32727999997</v>
      </c>
      <c r="D23" s="37">
        <f t="shared" si="10"/>
        <v>167489.1681552727</v>
      </c>
      <c r="E23" s="37">
        <f t="shared" si="10"/>
        <v>171192.51189569684</v>
      </c>
      <c r="F23" s="37">
        <f t="shared" si="10"/>
        <v>153472.11037956094</v>
      </c>
      <c r="G23" s="37">
        <f t="shared" si="10"/>
        <v>156679.05288951966</v>
      </c>
      <c r="H23" s="37">
        <f t="shared" si="10"/>
        <v>154261.3811212749</v>
      </c>
      <c r="I23" s="37">
        <f t="shared" si="10"/>
        <v>157571.13012167413</v>
      </c>
      <c r="J23" s="37">
        <f t="shared" si="10"/>
        <v>161209.23421327869</v>
      </c>
      <c r="K23" s="37">
        <f t="shared" si="10"/>
        <v>164734.22111365205</v>
      </c>
      <c r="L23" s="37">
        <f t="shared" si="10"/>
        <v>168135.50570767195</v>
      </c>
      <c r="M23" s="37">
        <f t="shared" si="10"/>
        <v>171526.49056277328</v>
      </c>
      <c r="N23" s="37">
        <f t="shared" si="10"/>
        <v>175004.6247915478</v>
      </c>
      <c r="O23" s="37">
        <f t="shared" si="10"/>
        <v>178665.58289496176</v>
      </c>
      <c r="P23" s="37">
        <f t="shared" si="10"/>
        <v>182195.48328024169</v>
      </c>
      <c r="S23" s="16"/>
    </row>
    <row r="24" spans="1:19" x14ac:dyDescent="0.35">
      <c r="A24" s="92" t="s">
        <v>1</v>
      </c>
      <c r="B24" s="51">
        <v>20409.989999999998</v>
      </c>
      <c r="C24" s="50">
        <v>23562</v>
      </c>
      <c r="D24" s="37">
        <f t="shared" ref="D24:P24" si="11">D15*D10</f>
        <v>24753.617356200419</v>
      </c>
      <c r="E24" s="37">
        <f t="shared" si="11"/>
        <v>25472.374792551527</v>
      </c>
      <c r="F24" s="37">
        <f t="shared" si="11"/>
        <v>26015.938640086606</v>
      </c>
      <c r="G24" s="37">
        <f t="shared" si="11"/>
        <v>26611.767436431721</v>
      </c>
      <c r="H24" s="37">
        <f t="shared" si="11"/>
        <v>27228.184431516154</v>
      </c>
      <c r="I24" s="37">
        <f t="shared" si="11"/>
        <v>27867.367798593219</v>
      </c>
      <c r="J24" s="37">
        <f t="shared" si="11"/>
        <v>28593.542703900534</v>
      </c>
      <c r="K24" s="37">
        <f t="shared" si="11"/>
        <v>29248.794038863678</v>
      </c>
      <c r="L24" s="37">
        <f t="shared" si="11"/>
        <v>29802.708839988507</v>
      </c>
      <c r="M24" s="37">
        <f t="shared" si="11"/>
        <v>30265.051051302009</v>
      </c>
      <c r="N24" s="37">
        <f t="shared" si="11"/>
        <v>30936.088868338979</v>
      </c>
      <c r="O24" s="37">
        <f t="shared" si="11"/>
        <v>31683.760583321735</v>
      </c>
      <c r="P24" s="37">
        <f t="shared" si="11"/>
        <v>32368.432783084674</v>
      </c>
    </row>
    <row r="25" spans="1:19" x14ac:dyDescent="0.35">
      <c r="A25" s="92" t="s">
        <v>10</v>
      </c>
      <c r="B25" s="51">
        <v>25377.82</v>
      </c>
      <c r="C25" s="50">
        <v>25960</v>
      </c>
      <c r="D25" s="37">
        <f t="shared" ref="D25:P25" si="12">D11*D17</f>
        <v>27708.773862631897</v>
      </c>
      <c r="E25" s="37">
        <f t="shared" si="12"/>
        <v>28457.495011541458</v>
      </c>
      <c r="F25" s="37">
        <f t="shared" si="12"/>
        <v>25511.815716554578</v>
      </c>
      <c r="G25" s="37">
        <f t="shared" si="12"/>
        <v>26044.908837678086</v>
      </c>
      <c r="H25" s="37">
        <f t="shared" si="12"/>
        <v>25643.016946949312</v>
      </c>
      <c r="I25" s="37">
        <f t="shared" si="12"/>
        <v>26193.199689321249</v>
      </c>
      <c r="J25" s="37">
        <f t="shared" si="12"/>
        <v>26797.965212601754</v>
      </c>
      <c r="K25" s="37">
        <f t="shared" si="12"/>
        <v>27383.927156978396</v>
      </c>
      <c r="L25" s="37">
        <f t="shared" si="12"/>
        <v>27949.325948638903</v>
      </c>
      <c r="M25" s="37">
        <f t="shared" si="12"/>
        <v>28513.012604846466</v>
      </c>
      <c r="N25" s="37">
        <f t="shared" si="12"/>
        <v>29091.186184804963</v>
      </c>
      <c r="O25" s="37">
        <f t="shared" si="12"/>
        <v>29699.750752330208</v>
      </c>
      <c r="P25" s="37">
        <f t="shared" si="12"/>
        <v>30286.529470003006</v>
      </c>
    </row>
    <row r="26" spans="1:19" x14ac:dyDescent="0.35">
      <c r="A26" s="92" t="s">
        <v>64</v>
      </c>
      <c r="B26" s="51">
        <v>5106</v>
      </c>
      <c r="C26" s="50">
        <v>8207</v>
      </c>
      <c r="D26" s="37">
        <f>D12*(D16+D17)</f>
        <v>8718.0644027567214</v>
      </c>
      <c r="E26" s="37">
        <f t="shared" ref="E26:P26" si="13">E12*(E16+E17)</f>
        <v>8958.9061593585484</v>
      </c>
      <c r="F26" s="37">
        <f t="shared" si="13"/>
        <v>8367.520141986859</v>
      </c>
      <c r="G26" s="37">
        <f t="shared" si="13"/>
        <v>8547.8818764132775</v>
      </c>
      <c r="H26" s="37">
        <f t="shared" si="13"/>
        <v>8524.4809104541346</v>
      </c>
      <c r="I26" s="37">
        <f t="shared" si="13"/>
        <v>8713.1867797566665</v>
      </c>
      <c r="J26" s="37">
        <f t="shared" si="13"/>
        <v>8923.1047880463484</v>
      </c>
      <c r="K26" s="37">
        <f t="shared" si="13"/>
        <v>9121.388736286397</v>
      </c>
      <c r="L26" s="37">
        <f t="shared" si="13"/>
        <v>9304.4382132068858</v>
      </c>
      <c r="M26" s="37">
        <f t="shared" si="13"/>
        <v>9477.4367720868486</v>
      </c>
      <c r="N26" s="37">
        <f t="shared" si="13"/>
        <v>9675.6729705542966</v>
      </c>
      <c r="O26" s="37">
        <f t="shared" si="13"/>
        <v>9888.6986890514527</v>
      </c>
      <c r="P26" s="37">
        <f t="shared" si="13"/>
        <v>10090.270583323123</v>
      </c>
    </row>
    <row r="27" spans="1:19" x14ac:dyDescent="0.35">
      <c r="A27" s="92" t="s">
        <v>49</v>
      </c>
      <c r="B27" s="51">
        <v>215902</v>
      </c>
      <c r="C27" s="50">
        <f t="shared" ref="C27:P27" si="14">C13*(C19+C20)</f>
        <v>216587.07216911117</v>
      </c>
      <c r="D27" s="37">
        <f t="shared" si="14"/>
        <v>0</v>
      </c>
      <c r="E27" s="37">
        <f t="shared" si="14"/>
        <v>0</v>
      </c>
      <c r="F27" s="37">
        <f t="shared" si="14"/>
        <v>0</v>
      </c>
      <c r="G27" s="37">
        <f t="shared" si="14"/>
        <v>0</v>
      </c>
      <c r="H27" s="37">
        <f t="shared" si="14"/>
        <v>0</v>
      </c>
      <c r="I27" s="37">
        <f t="shared" si="14"/>
        <v>0</v>
      </c>
      <c r="J27" s="37">
        <f t="shared" si="14"/>
        <v>0</v>
      </c>
      <c r="K27" s="37">
        <f t="shared" si="14"/>
        <v>0</v>
      </c>
      <c r="L27" s="37">
        <f t="shared" si="14"/>
        <v>0</v>
      </c>
      <c r="M27" s="37">
        <f t="shared" si="14"/>
        <v>0</v>
      </c>
      <c r="N27" s="37">
        <f t="shared" si="14"/>
        <v>0</v>
      </c>
      <c r="O27" s="37">
        <f t="shared" si="14"/>
        <v>0</v>
      </c>
      <c r="P27" s="37">
        <f t="shared" si="14"/>
        <v>0</v>
      </c>
      <c r="Q27" s="16"/>
      <c r="R27" s="16"/>
    </row>
    <row r="28" spans="1:19" x14ac:dyDescent="0.35">
      <c r="A28" s="93" t="s">
        <v>5</v>
      </c>
      <c r="B28" s="54"/>
      <c r="C28" s="4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9" x14ac:dyDescent="0.35">
      <c r="A29" s="92" t="s">
        <v>6</v>
      </c>
      <c r="B29" s="51">
        <v>161033.57999999999</v>
      </c>
      <c r="C29" s="34">
        <f>173109</f>
        <v>173109</v>
      </c>
      <c r="D29" s="37">
        <f>C29*(1+$D$5)</f>
        <v>181123.9467</v>
      </c>
      <c r="E29" s="37">
        <f t="shared" ref="E29:P29" si="15">D29*(1+E5)</f>
        <v>185633.93297282999</v>
      </c>
      <c r="F29" s="37">
        <f t="shared" si="15"/>
        <v>188863.96340655725</v>
      </c>
      <c r="G29" s="37">
        <f t="shared" si="15"/>
        <v>192471.26510762246</v>
      </c>
      <c r="H29" s="37">
        <f t="shared" si="15"/>
        <v>196320.69040977492</v>
      </c>
      <c r="I29" s="37">
        <f t="shared" si="15"/>
        <v>200247.10421797042</v>
      </c>
      <c r="J29" s="37">
        <f t="shared" si="15"/>
        <v>204252.04630232984</v>
      </c>
      <c r="K29" s="37">
        <f t="shared" si="15"/>
        <v>208337.08722837645</v>
      </c>
      <c r="L29" s="37">
        <f t="shared" si="15"/>
        <v>212503.82897294397</v>
      </c>
      <c r="M29" s="37">
        <f t="shared" si="15"/>
        <v>216753.90555240287</v>
      </c>
      <c r="N29" s="37">
        <f t="shared" si="15"/>
        <v>221088.98366345093</v>
      </c>
      <c r="O29" s="37">
        <f t="shared" si="15"/>
        <v>225510.76333671995</v>
      </c>
      <c r="P29" s="37">
        <f t="shared" si="15"/>
        <v>230020.97860345434</v>
      </c>
    </row>
    <row r="30" spans="1:19" x14ac:dyDescent="0.35">
      <c r="A30" s="92" t="s">
        <v>62</v>
      </c>
      <c r="B30" s="51">
        <f>40815.12*0.416</f>
        <v>16979.089919999999</v>
      </c>
      <c r="C30" s="34">
        <f>49264*0.416</f>
        <v>20493.824000000001</v>
      </c>
      <c r="D30" s="37">
        <f>C30*(1+$D$5)</f>
        <v>21442.688051200003</v>
      </c>
      <c r="E30" s="37">
        <f t="shared" ref="E30:P30" si="16">D30*(1+E4)</f>
        <v>21976.61098367488</v>
      </c>
      <c r="F30" s="37">
        <f t="shared" si="16"/>
        <v>22359.004014790826</v>
      </c>
      <c r="G30" s="37">
        <f t="shared" si="16"/>
        <v>22786.060991473329</v>
      </c>
      <c r="H30" s="37">
        <f t="shared" si="16"/>
        <v>23241.782211302794</v>
      </c>
      <c r="I30" s="37">
        <f t="shared" si="16"/>
        <v>23706.61785552885</v>
      </c>
      <c r="J30" s="37">
        <f t="shared" si="16"/>
        <v>24180.750212639428</v>
      </c>
      <c r="K30" s="37">
        <f t="shared" si="16"/>
        <v>24664.365216892216</v>
      </c>
      <c r="L30" s="37">
        <f t="shared" si="16"/>
        <v>25157.652521230062</v>
      </c>
      <c r="M30" s="37">
        <f t="shared" si="16"/>
        <v>25660.805571654662</v>
      </c>
      <c r="N30" s="37">
        <f t="shared" si="16"/>
        <v>26174.021683087754</v>
      </c>
      <c r="O30" s="37">
        <f t="shared" si="16"/>
        <v>26697.502116749511</v>
      </c>
      <c r="P30" s="37">
        <f t="shared" si="16"/>
        <v>27231.4521590845</v>
      </c>
      <c r="Q30" s="16"/>
    </row>
    <row r="31" spans="1:19" x14ac:dyDescent="0.35">
      <c r="A31" s="92" t="s">
        <v>63</v>
      </c>
      <c r="B31" s="51">
        <f>40815.12*0.584</f>
        <v>23836.03008</v>
      </c>
      <c r="C31" s="34">
        <f>49264*0.584</f>
        <v>28770.175999999999</v>
      </c>
      <c r="D31" s="37">
        <f>C31*(1+$D$5)</f>
        <v>30102.235148799999</v>
      </c>
      <c r="E31" s="37">
        <f>D31*(1+E4)</f>
        <v>30851.780804005117</v>
      </c>
      <c r="F31" s="37">
        <f>E31*(1+F4)</f>
        <v>31388.601789994809</v>
      </c>
      <c r="G31" s="37">
        <f>F31*(1+G4)</f>
        <v>31988.124084183706</v>
      </c>
      <c r="H31" s="37">
        <f>G31*(1+H4)</f>
        <v>32627.886565867382</v>
      </c>
      <c r="I31" s="37">
        <f>H31*(1+I5)</f>
        <v>33280.444297184731</v>
      </c>
      <c r="J31" s="37">
        <f t="shared" ref="J31:P31" si="17">I31*(1+J4)</f>
        <v>33946.053183128424</v>
      </c>
      <c r="K31" s="37">
        <f t="shared" si="17"/>
        <v>34624.974246790996</v>
      </c>
      <c r="L31" s="37">
        <f t="shared" si="17"/>
        <v>35317.473731726815</v>
      </c>
      <c r="M31" s="37">
        <f t="shared" si="17"/>
        <v>36023.823206361354</v>
      </c>
      <c r="N31" s="37">
        <f t="shared" si="17"/>
        <v>36744.299670488581</v>
      </c>
      <c r="O31" s="37">
        <f t="shared" si="17"/>
        <v>37479.185663898352</v>
      </c>
      <c r="P31" s="37">
        <f t="shared" si="17"/>
        <v>38228.769377176322</v>
      </c>
    </row>
    <row r="32" spans="1:19" x14ac:dyDescent="0.35">
      <c r="A32" s="92" t="s">
        <v>20</v>
      </c>
      <c r="B32" s="51">
        <v>27220.19</v>
      </c>
      <c r="C32" s="34">
        <v>46753</v>
      </c>
      <c r="D32" s="37">
        <f>C32*(1+$D$5)</f>
        <v>48917.6639</v>
      </c>
      <c r="E32" s="37">
        <f t="shared" ref="E32:P32" si="18">D32*(1+E4)</f>
        <v>50135.713731109994</v>
      </c>
      <c r="F32" s="37">
        <f t="shared" si="18"/>
        <v>51008.075150031313</v>
      </c>
      <c r="G32" s="37">
        <f t="shared" si="18"/>
        <v>51982.329385396908</v>
      </c>
      <c r="H32" s="37">
        <f t="shared" si="18"/>
        <v>53021.975973104847</v>
      </c>
      <c r="I32" s="37">
        <f t="shared" si="18"/>
        <v>54082.415492566943</v>
      </c>
      <c r="J32" s="37">
        <f t="shared" si="18"/>
        <v>55164.063802418284</v>
      </c>
      <c r="K32" s="37">
        <f t="shared" si="18"/>
        <v>56267.345078466649</v>
      </c>
      <c r="L32" s="37">
        <f t="shared" si="18"/>
        <v>57392.691980035983</v>
      </c>
      <c r="M32" s="37">
        <f t="shared" si="18"/>
        <v>58540.545819636704</v>
      </c>
      <c r="N32" s="37">
        <f t="shared" si="18"/>
        <v>59711.35673602944</v>
      </c>
      <c r="O32" s="37">
        <f t="shared" si="18"/>
        <v>60905.58387075003</v>
      </c>
      <c r="P32" s="37">
        <f t="shared" si="18"/>
        <v>62123.695548165029</v>
      </c>
    </row>
    <row r="33" spans="1:16" x14ac:dyDescent="0.35">
      <c r="A33" s="92" t="s">
        <v>61</v>
      </c>
      <c r="B33" s="51">
        <v>36616.080200000004</v>
      </c>
      <c r="C33" s="34">
        <v>43311</v>
      </c>
      <c r="D33" s="37">
        <f>C33*(1+$D$5)</f>
        <v>45316.299299999999</v>
      </c>
      <c r="E33" s="37">
        <f t="shared" ref="E33:P33" si="19">D33*(1+E4)</f>
        <v>46444.675152569995</v>
      </c>
      <c r="F33" s="37">
        <f t="shared" si="19"/>
        <v>47252.812500224718</v>
      </c>
      <c r="G33" s="37">
        <f t="shared" si="19"/>
        <v>48155.341218979003</v>
      </c>
      <c r="H33" s="37">
        <f t="shared" si="19"/>
        <v>49118.448043358585</v>
      </c>
      <c r="I33" s="37">
        <f t="shared" si="19"/>
        <v>50100.817004225755</v>
      </c>
      <c r="J33" s="37">
        <f t="shared" si="19"/>
        <v>51102.833344310275</v>
      </c>
      <c r="K33" s="37">
        <f t="shared" si="19"/>
        <v>52124.890011196483</v>
      </c>
      <c r="L33" s="37">
        <f t="shared" si="19"/>
        <v>53167.387811420413</v>
      </c>
      <c r="M33" s="37">
        <f t="shared" si="19"/>
        <v>54230.735567648822</v>
      </c>
      <c r="N33" s="37">
        <f t="shared" si="19"/>
        <v>55315.350279001803</v>
      </c>
      <c r="O33" s="37">
        <f t="shared" si="19"/>
        <v>56421.657284581837</v>
      </c>
      <c r="P33" s="37">
        <f t="shared" si="19"/>
        <v>57550.090430273478</v>
      </c>
    </row>
    <row r="34" spans="1:16" x14ac:dyDescent="0.35">
      <c r="A34" s="92" t="s">
        <v>19</v>
      </c>
      <c r="B34" s="51">
        <v>4449.4084000000003</v>
      </c>
      <c r="C34" s="34">
        <v>3103</v>
      </c>
      <c r="D34" s="37">
        <f t="shared" ref="D34" si="20">C34*(1+$D$5)/2</f>
        <v>1623.3344500000001</v>
      </c>
      <c r="E34" s="37">
        <f t="shared" ref="E34:P34" si="21">D34*(1+E4)</f>
        <v>1663.7554778049998</v>
      </c>
      <c r="F34" s="37">
        <f t="shared" si="21"/>
        <v>1692.7048231188069</v>
      </c>
      <c r="G34" s="37">
        <f t="shared" si="21"/>
        <v>1725.0354852403759</v>
      </c>
      <c r="H34" s="37">
        <f t="shared" si="21"/>
        <v>1759.5361949451835</v>
      </c>
      <c r="I34" s="37">
        <f t="shared" si="21"/>
        <v>1794.7269188440873</v>
      </c>
      <c r="J34" s="37">
        <f t="shared" si="21"/>
        <v>1830.6214572209692</v>
      </c>
      <c r="K34" s="37">
        <f t="shared" si="21"/>
        <v>1867.2338863653886</v>
      </c>
      <c r="L34" s="37">
        <f t="shared" si="21"/>
        <v>1904.5785640926963</v>
      </c>
      <c r="M34" s="37">
        <f t="shared" si="21"/>
        <v>1942.6701353745502</v>
      </c>
      <c r="N34" s="37">
        <f t="shared" si="21"/>
        <v>1981.5235380820413</v>
      </c>
      <c r="O34" s="37">
        <f t="shared" si="21"/>
        <v>2021.1540088436823</v>
      </c>
      <c r="P34" s="37">
        <f t="shared" si="21"/>
        <v>2061.5770890205558</v>
      </c>
    </row>
    <row r="35" spans="1:16" ht="8.25" customHeight="1" x14ac:dyDescent="0.35">
      <c r="A35" s="94"/>
      <c r="B35" s="54"/>
      <c r="C35" s="54"/>
      <c r="D35" s="2"/>
      <c r="E35" s="2"/>
      <c r="F35" s="2"/>
      <c r="G35" s="2"/>
      <c r="H35" s="2"/>
      <c r="I35" s="2"/>
      <c r="J35" s="2"/>
      <c r="K35" s="2"/>
      <c r="L35" s="2"/>
      <c r="M35" s="2"/>
      <c r="N35" s="4"/>
      <c r="O35" s="4"/>
      <c r="P35" s="4"/>
    </row>
    <row r="36" spans="1:16" x14ac:dyDescent="0.35">
      <c r="A36" s="95" t="s">
        <v>7</v>
      </c>
      <c r="B36" s="55">
        <f>B22+B23+B24+B25+B26+B27+B29+B30+B31+B32+B33+B34</f>
        <v>759415.96859999979</v>
      </c>
      <c r="C36" s="55">
        <f>C22+C23+C24+C25+C26+C27+C29+C30+C31+C32+C33+C34</f>
        <v>864135.74216911104</v>
      </c>
      <c r="D36" s="17">
        <f>D22+D23+D24+D25+D26+D27+D29+D30+D31+D32+D33+D34</f>
        <v>677022.88748214056</v>
      </c>
      <c r="E36" s="17">
        <f t="shared" ref="E36:P36" si="22">E22+E23+E24+E25+E26+E27+E29+E30+E31+E32+E33+E34</f>
        <v>693504.6853996797</v>
      </c>
      <c r="F36" s="17">
        <f t="shared" si="22"/>
        <v>681268.17411382124</v>
      </c>
      <c r="G36" s="17">
        <f t="shared" si="22"/>
        <v>695197.88810785825</v>
      </c>
      <c r="H36" s="17">
        <f t="shared" si="22"/>
        <v>702923.18353624991</v>
      </c>
      <c r="I36" s="17">
        <f t="shared" si="22"/>
        <v>717812.17119634093</v>
      </c>
      <c r="J36" s="17">
        <f t="shared" si="22"/>
        <v>733753.83111959742</v>
      </c>
      <c r="K36" s="17">
        <f t="shared" si="22"/>
        <v>749284.6127154642</v>
      </c>
      <c r="L36" s="17">
        <f t="shared" si="22"/>
        <v>764214.54467292235</v>
      </c>
      <c r="M36" s="17">
        <f t="shared" si="22"/>
        <v>778740.83112763113</v>
      </c>
      <c r="N36" s="17">
        <f t="shared" si="22"/>
        <v>794762.28648021992</v>
      </c>
      <c r="O36" s="17">
        <f t="shared" si="22"/>
        <v>811614.8362312743</v>
      </c>
      <c r="P36" s="17">
        <f t="shared" si="22"/>
        <v>828096.98581807618</v>
      </c>
    </row>
    <row r="37" spans="1:16" x14ac:dyDescent="0.35">
      <c r="B37" s="4"/>
    </row>
    <row r="38" spans="1:16" x14ac:dyDescent="0.35">
      <c r="A38" s="96" t="s">
        <v>65</v>
      </c>
      <c r="B38" s="5"/>
      <c r="C38" s="34"/>
      <c r="D38" s="34">
        <v>228363</v>
      </c>
      <c r="E38" s="34">
        <v>299063.57983585796</v>
      </c>
      <c r="F38" s="34">
        <v>337858.92976137879</v>
      </c>
      <c r="G38" s="34">
        <v>418914.45999982615</v>
      </c>
      <c r="H38" s="34">
        <v>545575.73062221275</v>
      </c>
      <c r="I38" s="34">
        <v>685785.78192674089</v>
      </c>
      <c r="J38" s="34">
        <v>843278.08340110769</v>
      </c>
      <c r="K38" s="34">
        <v>1010802.7066195693</v>
      </c>
      <c r="L38" s="34">
        <v>1180637.0624210197</v>
      </c>
      <c r="M38" s="34">
        <v>1351568.1102437603</v>
      </c>
      <c r="N38" s="34">
        <v>1544674.3099866232</v>
      </c>
      <c r="O38" s="34">
        <v>1669578.053279548</v>
      </c>
      <c r="P38" s="34">
        <v>1897762.9107712263</v>
      </c>
    </row>
    <row r="39" spans="1:16" x14ac:dyDescent="0.35">
      <c r="A39" s="96" t="s">
        <v>67</v>
      </c>
      <c r="B39" s="5"/>
      <c r="C39" s="34"/>
      <c r="D39" s="34">
        <v>3041758.6429217141</v>
      </c>
      <c r="E39" s="34">
        <v>3657578.1974858558</v>
      </c>
      <c r="F39" s="34">
        <v>4133153.5349920355</v>
      </c>
      <c r="G39" s="34">
        <v>4769766.6610776335</v>
      </c>
      <c r="H39" s="34">
        <v>4956693.6177409068</v>
      </c>
      <c r="I39" s="34">
        <v>4950408.2416816242</v>
      </c>
      <c r="J39" s="34">
        <v>5014877.051215739</v>
      </c>
      <c r="K39" s="34">
        <v>4968600.9350969568</v>
      </c>
      <c r="L39" s="34">
        <v>4788777.8315564394</v>
      </c>
      <c r="M39" s="34">
        <v>4785147.9757356672</v>
      </c>
      <c r="N39" s="34">
        <v>4542446.0509440377</v>
      </c>
      <c r="O39" s="34">
        <v>4789848.6195157226</v>
      </c>
      <c r="P39" s="34">
        <v>4406314.7620240441</v>
      </c>
    </row>
    <row r="40" spans="1:16" x14ac:dyDescent="0.35">
      <c r="A40" s="96" t="s">
        <v>66</v>
      </c>
      <c r="B40" s="5"/>
      <c r="C40" s="34"/>
      <c r="D40" s="34">
        <f>0.0628*D39</f>
        <v>191022.44277548362</v>
      </c>
      <c r="E40" s="34">
        <f t="shared" ref="E40:P40" si="23">0.0628*E39</f>
        <v>229695.91080211173</v>
      </c>
      <c r="F40" s="34">
        <f t="shared" si="23"/>
        <v>259562.04199749979</v>
      </c>
      <c r="G40" s="34">
        <f t="shared" si="23"/>
        <v>299541.34631567536</v>
      </c>
      <c r="H40" s="34">
        <f t="shared" si="23"/>
        <v>311280.35919412889</v>
      </c>
      <c r="I40" s="34">
        <f t="shared" si="23"/>
        <v>310885.63757760596</v>
      </c>
      <c r="J40" s="34">
        <f t="shared" si="23"/>
        <v>314934.27881634841</v>
      </c>
      <c r="K40" s="34">
        <f t="shared" si="23"/>
        <v>312028.13872408884</v>
      </c>
      <c r="L40" s="34">
        <f t="shared" si="23"/>
        <v>300735.24782174436</v>
      </c>
      <c r="M40" s="34">
        <f t="shared" si="23"/>
        <v>300507.29287619988</v>
      </c>
      <c r="N40" s="34">
        <f t="shared" si="23"/>
        <v>285265.61199928552</v>
      </c>
      <c r="O40" s="34">
        <f t="shared" si="23"/>
        <v>300802.49330558733</v>
      </c>
      <c r="P40" s="34">
        <f t="shared" si="23"/>
        <v>276716.56705510995</v>
      </c>
    </row>
    <row r="41" spans="1:16" x14ac:dyDescent="0.35">
      <c r="A41" s="97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x14ac:dyDescent="0.35">
      <c r="A42" s="98" t="s">
        <v>68</v>
      </c>
      <c r="B42" s="34"/>
      <c r="C42" s="34"/>
      <c r="D42" s="43">
        <f>D36+D38+D40</f>
        <v>1096408.3302576242</v>
      </c>
      <c r="E42" s="43">
        <f t="shared" ref="E42:P42" si="24">E36+E38+E40</f>
        <v>1222264.1760376494</v>
      </c>
      <c r="F42" s="43">
        <f t="shared" si="24"/>
        <v>1278689.1458726998</v>
      </c>
      <c r="G42" s="43">
        <f t="shared" si="24"/>
        <v>1413653.6944233598</v>
      </c>
      <c r="H42" s="43">
        <f t="shared" si="24"/>
        <v>1559779.2733525913</v>
      </c>
      <c r="I42" s="43">
        <f t="shared" si="24"/>
        <v>1714483.5907006878</v>
      </c>
      <c r="J42" s="43">
        <f t="shared" si="24"/>
        <v>1891966.1933370535</v>
      </c>
      <c r="K42" s="43">
        <f t="shared" si="24"/>
        <v>2072115.4580591226</v>
      </c>
      <c r="L42" s="43">
        <f t="shared" si="24"/>
        <v>2245586.8549156864</v>
      </c>
      <c r="M42" s="43">
        <f t="shared" si="24"/>
        <v>2430816.2342475913</v>
      </c>
      <c r="N42" s="43">
        <f t="shared" si="24"/>
        <v>2624702.2084661284</v>
      </c>
      <c r="O42" s="43">
        <f t="shared" si="24"/>
        <v>2781995.3828164097</v>
      </c>
      <c r="P42" s="43">
        <f t="shared" si="24"/>
        <v>3002576.4636444123</v>
      </c>
    </row>
    <row r="43" spans="1:16" x14ac:dyDescent="0.3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6" x14ac:dyDescent="0.35">
      <c r="A44" s="99" t="s">
        <v>53</v>
      </c>
      <c r="B44" s="18">
        <v>2022</v>
      </c>
      <c r="C44" s="18">
        <f>B44+1</f>
        <v>2023</v>
      </c>
      <c r="D44" s="18">
        <f t="shared" ref="D44:P44" si="25">C44+1</f>
        <v>2024</v>
      </c>
      <c r="E44" s="18">
        <f t="shared" si="25"/>
        <v>2025</v>
      </c>
      <c r="F44" s="18">
        <f t="shared" si="25"/>
        <v>2026</v>
      </c>
      <c r="G44" s="18">
        <f t="shared" si="25"/>
        <v>2027</v>
      </c>
      <c r="H44" s="18">
        <f t="shared" si="25"/>
        <v>2028</v>
      </c>
      <c r="I44" s="18">
        <f t="shared" si="25"/>
        <v>2029</v>
      </c>
      <c r="J44" s="18">
        <f t="shared" si="25"/>
        <v>2030</v>
      </c>
      <c r="K44" s="18">
        <f t="shared" si="25"/>
        <v>2031</v>
      </c>
      <c r="L44" s="18">
        <f t="shared" si="25"/>
        <v>2032</v>
      </c>
      <c r="M44" s="18">
        <f t="shared" si="25"/>
        <v>2033</v>
      </c>
      <c r="N44" s="18">
        <f t="shared" si="25"/>
        <v>2034</v>
      </c>
      <c r="O44" s="18">
        <f t="shared" si="25"/>
        <v>2035</v>
      </c>
      <c r="P44" s="18">
        <f t="shared" si="25"/>
        <v>2036</v>
      </c>
    </row>
    <row r="45" spans="1:16" x14ac:dyDescent="0.35">
      <c r="A45" s="95" t="s">
        <v>54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6" x14ac:dyDescent="0.35">
      <c r="A46" s="92" t="s">
        <v>8</v>
      </c>
      <c r="B46" s="51">
        <v>139802.14000000001</v>
      </c>
      <c r="C46" s="51">
        <v>140597.45368937051</v>
      </c>
      <c r="D46" s="15">
        <v>141391.5710237876</v>
      </c>
      <c r="E46" s="15">
        <v>142179.42934568194</v>
      </c>
      <c r="F46" s="15">
        <v>142940.00211400192</v>
      </c>
      <c r="G46" s="15">
        <v>143677.11753353805</v>
      </c>
      <c r="H46" s="15">
        <v>144362.5895038473</v>
      </c>
      <c r="I46" s="15">
        <v>145043.10886031104</v>
      </c>
      <c r="J46" s="15">
        <v>146390.28507929182</v>
      </c>
      <c r="K46" s="15">
        <v>146973.85693196111</v>
      </c>
      <c r="L46" s="15">
        <v>147502.15390429919</v>
      </c>
      <c r="M46" s="15">
        <v>147936.53473731154</v>
      </c>
      <c r="N46" s="15">
        <v>148393.67941082257</v>
      </c>
      <c r="O46" s="15">
        <v>148751.4235557183</v>
      </c>
      <c r="P46" s="15">
        <v>149105.68608699215</v>
      </c>
    </row>
    <row r="47" spans="1:16" x14ac:dyDescent="0.35">
      <c r="A47" s="92" t="s">
        <v>79</v>
      </c>
      <c r="B47" s="51">
        <v>30995.7</v>
      </c>
      <c r="C47" s="51">
        <v>30995.7</v>
      </c>
      <c r="D47" s="15">
        <v>30995.7</v>
      </c>
      <c r="E47" s="15">
        <v>30995.7</v>
      </c>
      <c r="F47" s="15">
        <v>30995.7</v>
      </c>
      <c r="G47" s="15">
        <v>30995.7</v>
      </c>
      <c r="H47" s="15">
        <v>30995.7</v>
      </c>
      <c r="I47" s="15">
        <v>30995.7</v>
      </c>
      <c r="J47" s="15">
        <v>30995.7</v>
      </c>
      <c r="K47" s="15">
        <v>30995.7</v>
      </c>
      <c r="L47" s="15">
        <v>30995.7</v>
      </c>
      <c r="M47" s="15">
        <v>30995.7</v>
      </c>
      <c r="N47" s="15">
        <v>30995.7</v>
      </c>
      <c r="O47" s="15">
        <v>30995.7</v>
      </c>
      <c r="P47" s="15">
        <v>30995.7</v>
      </c>
    </row>
    <row r="48" spans="1:16" x14ac:dyDescent="0.35">
      <c r="A48" s="92" t="s">
        <v>9</v>
      </c>
      <c r="B48" s="51">
        <v>146008.755</v>
      </c>
      <c r="C48" s="51">
        <v>146467.78010700474</v>
      </c>
      <c r="D48" s="15">
        <v>146922.39301185866</v>
      </c>
      <c r="E48" s="15">
        <v>147366.89872399779</v>
      </c>
      <c r="F48" s="15">
        <v>147779.61964574252</v>
      </c>
      <c r="G48" s="15">
        <v>148164.72977614353</v>
      </c>
      <c r="H48" s="15">
        <v>148493.43198704952</v>
      </c>
      <c r="I48" s="15">
        <v>148814.04713755407</v>
      </c>
      <c r="J48" s="15">
        <v>149517.52436416893</v>
      </c>
      <c r="K48" s="15">
        <v>149947.40025486826</v>
      </c>
      <c r="L48" s="15">
        <v>150104.60014221622</v>
      </c>
      <c r="M48" s="15">
        <v>150164.32001065553</v>
      </c>
      <c r="N48" s="15">
        <v>150245.43116789643</v>
      </c>
      <c r="O48" s="15">
        <v>150224.39077344385</v>
      </c>
      <c r="P48" s="15">
        <v>150198.5953576504</v>
      </c>
    </row>
    <row r="49" spans="1:16" x14ac:dyDescent="0.35">
      <c r="A49" s="92" t="s">
        <v>80</v>
      </c>
      <c r="B49" s="51">
        <v>54227.56</v>
      </c>
      <c r="C49" s="51">
        <v>54227.56</v>
      </c>
      <c r="D49" s="15">
        <v>58227.56</v>
      </c>
      <c r="E49" s="15">
        <v>58227.56</v>
      </c>
      <c r="F49" s="15">
        <v>58227.56</v>
      </c>
      <c r="G49" s="15">
        <v>58227.56</v>
      </c>
      <c r="H49" s="15">
        <v>58227.56</v>
      </c>
      <c r="I49" s="15">
        <v>58227.56</v>
      </c>
      <c r="J49" s="15">
        <v>58227.56</v>
      </c>
      <c r="K49" s="15">
        <v>58227.56</v>
      </c>
      <c r="L49" s="15">
        <v>58227.56</v>
      </c>
      <c r="M49" s="15">
        <v>58227.56</v>
      </c>
      <c r="N49" s="15">
        <v>58227.56</v>
      </c>
      <c r="O49" s="15">
        <v>58227.56</v>
      </c>
      <c r="P49" s="15">
        <v>58227.56</v>
      </c>
    </row>
    <row r="50" spans="1:16" x14ac:dyDescent="0.35">
      <c r="A50" s="92" t="s">
        <v>11</v>
      </c>
      <c r="B50" s="51">
        <f t="shared" ref="B50:P50" si="26">B46+B47</f>
        <v>170797.84000000003</v>
      </c>
      <c r="C50" s="51">
        <f t="shared" si="26"/>
        <v>171593.15368937052</v>
      </c>
      <c r="D50" s="15">
        <f t="shared" si="26"/>
        <v>172387.27102378762</v>
      </c>
      <c r="E50" s="15">
        <f t="shared" si="26"/>
        <v>173175.12934568195</v>
      </c>
      <c r="F50" s="15">
        <f t="shared" si="26"/>
        <v>173935.70211400194</v>
      </c>
      <c r="G50" s="15">
        <f t="shared" si="26"/>
        <v>174672.81753353807</v>
      </c>
      <c r="H50" s="15">
        <f t="shared" si="26"/>
        <v>175358.28950384731</v>
      </c>
      <c r="I50" s="15">
        <f t="shared" si="26"/>
        <v>176038.80886031105</v>
      </c>
      <c r="J50" s="15">
        <f t="shared" si="26"/>
        <v>177385.98507929183</v>
      </c>
      <c r="K50" s="15">
        <f t="shared" si="26"/>
        <v>177969.55693196112</v>
      </c>
      <c r="L50" s="15">
        <f t="shared" si="26"/>
        <v>178497.85390429921</v>
      </c>
      <c r="M50" s="15">
        <f t="shared" si="26"/>
        <v>178932.23473731155</v>
      </c>
      <c r="N50" s="15">
        <f t="shared" si="26"/>
        <v>179389.37941082258</v>
      </c>
      <c r="O50" s="15">
        <f t="shared" si="26"/>
        <v>179747.12355571831</v>
      </c>
      <c r="P50" s="15">
        <f t="shared" si="26"/>
        <v>180101.38608699216</v>
      </c>
    </row>
    <row r="51" spans="1:16" x14ac:dyDescent="0.35">
      <c r="A51" s="92" t="s">
        <v>12</v>
      </c>
      <c r="B51" s="51">
        <f t="shared" ref="B51:P51" si="27">B48+B49</f>
        <v>200236.315</v>
      </c>
      <c r="C51" s="51">
        <f t="shared" si="27"/>
        <v>200695.34010700474</v>
      </c>
      <c r="D51" s="15">
        <f t="shared" si="27"/>
        <v>205149.95301185866</v>
      </c>
      <c r="E51" s="15">
        <f t="shared" si="27"/>
        <v>205594.45872399778</v>
      </c>
      <c r="F51" s="15">
        <f t="shared" si="27"/>
        <v>206007.17964574252</v>
      </c>
      <c r="G51" s="15">
        <f t="shared" si="27"/>
        <v>206392.28977614353</v>
      </c>
      <c r="H51" s="15">
        <f t="shared" si="27"/>
        <v>206720.99198704952</v>
      </c>
      <c r="I51" s="15">
        <f t="shared" si="27"/>
        <v>207041.60713755406</v>
      </c>
      <c r="J51" s="15">
        <f t="shared" si="27"/>
        <v>207745.08436416893</v>
      </c>
      <c r="K51" s="15">
        <f t="shared" si="27"/>
        <v>208174.96025486826</v>
      </c>
      <c r="L51" s="15">
        <f t="shared" si="27"/>
        <v>208332.16014221622</v>
      </c>
      <c r="M51" s="15">
        <f t="shared" si="27"/>
        <v>208391.88001065553</v>
      </c>
      <c r="N51" s="15">
        <f t="shared" si="27"/>
        <v>208472.99116789643</v>
      </c>
      <c r="O51" s="15">
        <f t="shared" si="27"/>
        <v>208451.95077344385</v>
      </c>
      <c r="P51" s="15">
        <f t="shared" si="27"/>
        <v>208426.15535765039</v>
      </c>
    </row>
    <row r="52" spans="1:16" x14ac:dyDescent="0.35">
      <c r="A52" s="95" t="s">
        <v>57</v>
      </c>
      <c r="B52" s="58"/>
      <c r="C52" s="58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x14ac:dyDescent="0.35">
      <c r="A53" s="92" t="s">
        <v>8</v>
      </c>
      <c r="B53" s="51">
        <v>5786.5</v>
      </c>
      <c r="C53" s="51">
        <v>5814.1872985964901</v>
      </c>
      <c r="D53" s="15">
        <v>5841.8046883196648</v>
      </c>
      <c r="E53" s="15">
        <v>5869.1442088465647</v>
      </c>
      <c r="F53" s="15">
        <v>5895.3402341244091</v>
      </c>
      <c r="G53" s="15">
        <v>5920.5543677501573</v>
      </c>
      <c r="H53" s="15">
        <v>6842.9358767249796</v>
      </c>
      <c r="I53" s="15">
        <v>6867.9880434914239</v>
      </c>
      <c r="J53" s="15">
        <v>6890.3928969864264</v>
      </c>
      <c r="K53" s="15">
        <v>6910.8297696284044</v>
      </c>
      <c r="L53" s="15">
        <v>6928.6577068612623</v>
      </c>
      <c r="M53" s="15">
        <v>6942.0720500343687</v>
      </c>
      <c r="N53" s="15">
        <v>6956.5566172566287</v>
      </c>
      <c r="O53" s="15">
        <v>6966.3876314206027</v>
      </c>
      <c r="P53" s="15">
        <v>6976.0672669301475</v>
      </c>
    </row>
    <row r="54" spans="1:16" x14ac:dyDescent="0.35">
      <c r="A54" s="92" t="s">
        <v>79</v>
      </c>
      <c r="B54" s="51">
        <v>2874.8</v>
      </c>
      <c r="C54" s="51">
        <v>2874.8</v>
      </c>
      <c r="D54" s="15">
        <v>2874.8</v>
      </c>
      <c r="E54" s="15">
        <v>2874.8</v>
      </c>
      <c r="F54" s="15">
        <v>2874.8</v>
      </c>
      <c r="G54" s="15">
        <v>2874.8</v>
      </c>
      <c r="H54" s="15">
        <v>2874.8</v>
      </c>
      <c r="I54" s="15">
        <v>2874.8</v>
      </c>
      <c r="J54" s="15">
        <v>2874.8</v>
      </c>
      <c r="K54" s="15">
        <v>2874.8</v>
      </c>
      <c r="L54" s="15">
        <v>2874.8</v>
      </c>
      <c r="M54" s="15">
        <v>2874.8</v>
      </c>
      <c r="N54" s="15">
        <v>2874.8</v>
      </c>
      <c r="O54" s="15">
        <v>2874.8</v>
      </c>
      <c r="P54" s="15">
        <v>2874.8</v>
      </c>
    </row>
    <row r="55" spans="1:16" x14ac:dyDescent="0.35">
      <c r="A55" s="92" t="s">
        <v>9</v>
      </c>
      <c r="B55" s="51">
        <v>9408.1440000000002</v>
      </c>
      <c r="C55" s="51">
        <v>9362.620881667699</v>
      </c>
      <c r="D55" s="15">
        <v>9317.0100974905854</v>
      </c>
      <c r="E55" s="15">
        <v>9270.9901517590752</v>
      </c>
      <c r="F55" s="15">
        <v>9223.2230728517443</v>
      </c>
      <c r="G55" s="15">
        <v>9174.014127920922</v>
      </c>
      <c r="H55" s="15">
        <v>10020.94050860099</v>
      </c>
      <c r="I55" s="15">
        <v>9961.6785299635867</v>
      </c>
      <c r="J55" s="15">
        <v>9898.8505157978325</v>
      </c>
      <c r="K55" s="15">
        <v>9833.5328223945871</v>
      </c>
      <c r="L55" s="15">
        <v>9764.9020358621965</v>
      </c>
      <c r="M55" s="15">
        <v>9690.5431686284373</v>
      </c>
      <c r="N55" s="15">
        <v>9618.2123368597786</v>
      </c>
      <c r="O55" s="15">
        <v>9540.0251495502926</v>
      </c>
      <c r="P55" s="15">
        <v>9462.2671379286585</v>
      </c>
    </row>
    <row r="56" spans="1:16" x14ac:dyDescent="0.35">
      <c r="A56" s="92" t="s">
        <v>80</v>
      </c>
      <c r="B56" s="51">
        <v>2825.8820000000001</v>
      </c>
      <c r="C56" s="51">
        <v>2825.8820000000001</v>
      </c>
      <c r="D56" s="15">
        <v>2825.8820000000001</v>
      </c>
      <c r="E56" s="15">
        <v>2825.8820000000001</v>
      </c>
      <c r="F56" s="15">
        <v>2825.8820000000001</v>
      </c>
      <c r="G56" s="15">
        <v>2825.8820000000001</v>
      </c>
      <c r="H56" s="15">
        <v>2825.8820000000001</v>
      </c>
      <c r="I56" s="15">
        <v>2825.8820000000001</v>
      </c>
      <c r="J56" s="15">
        <v>2825.8820000000001</v>
      </c>
      <c r="K56" s="15">
        <v>2825.8820000000001</v>
      </c>
      <c r="L56" s="15">
        <v>2825.8820000000001</v>
      </c>
      <c r="M56" s="15">
        <v>2825.8820000000001</v>
      </c>
      <c r="N56" s="15">
        <v>2825.8820000000001</v>
      </c>
      <c r="O56" s="15">
        <v>2825.8820000000001</v>
      </c>
      <c r="P56" s="15">
        <v>2825.8820000000001</v>
      </c>
    </row>
    <row r="57" spans="1:16" x14ac:dyDescent="0.35">
      <c r="A57" s="92" t="s">
        <v>11</v>
      </c>
      <c r="B57" s="51">
        <f t="shared" ref="B57:P57" si="28">B53+B54</f>
        <v>8661.2999999999993</v>
      </c>
      <c r="C57" s="51">
        <f t="shared" si="28"/>
        <v>8688.9872985964903</v>
      </c>
      <c r="D57" s="15">
        <f t="shared" si="28"/>
        <v>8716.604688319665</v>
      </c>
      <c r="E57" s="15">
        <f t="shared" si="28"/>
        <v>8743.9442088465657</v>
      </c>
      <c r="F57" s="15">
        <f t="shared" si="28"/>
        <v>8770.1402341244102</v>
      </c>
      <c r="G57" s="15">
        <f t="shared" si="28"/>
        <v>8795.3543677501584</v>
      </c>
      <c r="H57" s="15">
        <f t="shared" si="28"/>
        <v>9717.7358767249789</v>
      </c>
      <c r="I57" s="15">
        <f t="shared" si="28"/>
        <v>9742.7880434914241</v>
      </c>
      <c r="J57" s="15">
        <f t="shared" si="28"/>
        <v>9765.1928969864275</v>
      </c>
      <c r="K57" s="15">
        <f t="shared" si="28"/>
        <v>9785.6297696284055</v>
      </c>
      <c r="L57" s="15">
        <f t="shared" si="28"/>
        <v>9803.4577068612634</v>
      </c>
      <c r="M57" s="15">
        <f t="shared" si="28"/>
        <v>9816.8720500343697</v>
      </c>
      <c r="N57" s="15">
        <f t="shared" si="28"/>
        <v>9831.3566172566279</v>
      </c>
      <c r="O57" s="15">
        <f t="shared" si="28"/>
        <v>9841.187631420602</v>
      </c>
      <c r="P57" s="15">
        <f t="shared" si="28"/>
        <v>9850.8672669301486</v>
      </c>
    </row>
    <row r="58" spans="1:16" x14ac:dyDescent="0.35">
      <c r="A58" s="92" t="s">
        <v>12</v>
      </c>
      <c r="B58" s="51">
        <f t="shared" ref="B58:P58" si="29">B55+B56</f>
        <v>12234.026</v>
      </c>
      <c r="C58" s="51">
        <f t="shared" si="29"/>
        <v>12188.502881667699</v>
      </c>
      <c r="D58" s="15">
        <f t="shared" si="29"/>
        <v>12142.892097490585</v>
      </c>
      <c r="E58" s="15">
        <f t="shared" si="29"/>
        <v>12096.872151759075</v>
      </c>
      <c r="F58" s="15">
        <f t="shared" si="29"/>
        <v>12049.105072851744</v>
      </c>
      <c r="G58" s="15">
        <f t="shared" si="29"/>
        <v>11999.896127920922</v>
      </c>
      <c r="H58" s="15">
        <f t="shared" si="29"/>
        <v>12846.82250860099</v>
      </c>
      <c r="I58" s="15">
        <f t="shared" si="29"/>
        <v>12787.560529963586</v>
      </c>
      <c r="J58" s="15">
        <f t="shared" si="29"/>
        <v>12724.732515797832</v>
      </c>
      <c r="K58" s="15">
        <f t="shared" si="29"/>
        <v>12659.414822394587</v>
      </c>
      <c r="L58" s="15">
        <f t="shared" si="29"/>
        <v>12590.784035862196</v>
      </c>
      <c r="M58" s="15">
        <f t="shared" si="29"/>
        <v>12516.425168628437</v>
      </c>
      <c r="N58" s="15">
        <f t="shared" si="29"/>
        <v>12444.094336859778</v>
      </c>
      <c r="O58" s="15">
        <f t="shared" si="29"/>
        <v>12365.907149550292</v>
      </c>
      <c r="P58" s="15">
        <f t="shared" si="29"/>
        <v>12288.149137928658</v>
      </c>
    </row>
    <row r="59" spans="1:16" x14ac:dyDescent="0.35">
      <c r="A59" s="95" t="s">
        <v>56</v>
      </c>
      <c r="B59" s="58"/>
      <c r="C59" s="58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x14ac:dyDescent="0.35">
      <c r="A60" s="92" t="s">
        <v>8</v>
      </c>
      <c r="B60" s="51">
        <v>7109</v>
      </c>
      <c r="C60" s="51">
        <v>7104.0802976264185</v>
      </c>
      <c r="D60" s="15">
        <v>7098.9992267072112</v>
      </c>
      <c r="E60" s="15">
        <v>7093.5087910090315</v>
      </c>
      <c r="F60" s="15">
        <v>7086.5758346654402</v>
      </c>
      <c r="G60" s="15">
        <v>7078.4177100218803</v>
      </c>
      <c r="H60" s="15">
        <v>7067.6791869016042</v>
      </c>
      <c r="I60" s="15">
        <v>7056.6819776016455</v>
      </c>
      <c r="J60" s="15">
        <v>7042.9912218587306</v>
      </c>
      <c r="K60" s="15">
        <v>7027.340633975602</v>
      </c>
      <c r="L60" s="15">
        <v>7009.1133952758846</v>
      </c>
      <c r="M60" s="15">
        <v>6986.5343944675842</v>
      </c>
      <c r="N60" s="15">
        <v>6965.1626851428882</v>
      </c>
      <c r="O60" s="15">
        <v>6939.2797957647554</v>
      </c>
      <c r="P60" s="15">
        <v>6913.4181394776087</v>
      </c>
    </row>
    <row r="61" spans="1:16" x14ac:dyDescent="0.35">
      <c r="A61" s="92" t="s">
        <v>79</v>
      </c>
      <c r="B61" s="51">
        <v>1689</v>
      </c>
      <c r="C61" s="51">
        <v>1689</v>
      </c>
      <c r="D61" s="15">
        <v>1689</v>
      </c>
      <c r="E61" s="15">
        <v>1689</v>
      </c>
      <c r="F61" s="15">
        <v>1689</v>
      </c>
      <c r="G61" s="15">
        <v>1689</v>
      </c>
      <c r="H61" s="15">
        <v>1689</v>
      </c>
      <c r="I61" s="15">
        <v>1689</v>
      </c>
      <c r="J61" s="15">
        <v>1689</v>
      </c>
      <c r="K61" s="15">
        <v>1689</v>
      </c>
      <c r="L61" s="15">
        <v>1689</v>
      </c>
      <c r="M61" s="15">
        <v>1689</v>
      </c>
      <c r="N61" s="15">
        <v>1689</v>
      </c>
      <c r="O61" s="15">
        <v>1689</v>
      </c>
      <c r="P61" s="15">
        <v>1689</v>
      </c>
    </row>
    <row r="62" spans="1:16" x14ac:dyDescent="0.35">
      <c r="A62" s="92" t="s">
        <v>9</v>
      </c>
      <c r="B62" s="51">
        <v>6812.75</v>
      </c>
      <c r="C62" s="51">
        <v>6827.3596002794638</v>
      </c>
      <c r="D62" s="15">
        <v>6820.5156467737897</v>
      </c>
      <c r="E62" s="15">
        <v>6813.2731375477988</v>
      </c>
      <c r="F62" s="15">
        <v>6804.6404266124437</v>
      </c>
      <c r="G62" s="15">
        <v>6794.8274352488852</v>
      </c>
      <c r="H62" s="15">
        <v>6782.5347145542819</v>
      </c>
      <c r="I62" s="15">
        <v>6769.9919132893101</v>
      </c>
      <c r="J62" s="15">
        <v>6754.8640878565457</v>
      </c>
      <c r="K62" s="15">
        <v>6737.8571131254566</v>
      </c>
      <c r="L62" s="15">
        <v>6718.3815314720723</v>
      </c>
      <c r="M62" s="15">
        <v>6694.7386893272778</v>
      </c>
      <c r="N62" s="15">
        <v>6672.2577336695967</v>
      </c>
      <c r="O62" s="15">
        <v>6645.4614057466006</v>
      </c>
      <c r="P62" s="15">
        <v>6618.6929430658474</v>
      </c>
    </row>
    <row r="63" spans="1:16" x14ac:dyDescent="0.35">
      <c r="A63" s="92" t="s">
        <v>80</v>
      </c>
      <c r="B63" s="51">
        <v>578.99300000000005</v>
      </c>
      <c r="C63" s="51">
        <v>578.99300000000005</v>
      </c>
      <c r="D63" s="15">
        <v>578.99300000000005</v>
      </c>
      <c r="E63" s="15">
        <v>578.99300000000005</v>
      </c>
      <c r="F63" s="15">
        <v>578.99300000000005</v>
      </c>
      <c r="G63" s="15">
        <v>578.99300000000005</v>
      </c>
      <c r="H63" s="15">
        <v>578.99300000000005</v>
      </c>
      <c r="I63" s="15">
        <v>578.99300000000005</v>
      </c>
      <c r="J63" s="15">
        <v>578.99300000000005</v>
      </c>
      <c r="K63" s="15">
        <v>578.99300000000005</v>
      </c>
      <c r="L63" s="15">
        <v>578.99300000000005</v>
      </c>
      <c r="M63" s="15">
        <v>578.99300000000005</v>
      </c>
      <c r="N63" s="15">
        <v>578.99300000000005</v>
      </c>
      <c r="O63" s="15">
        <v>578.99300000000005</v>
      </c>
      <c r="P63" s="15">
        <v>578.99300000000005</v>
      </c>
    </row>
    <row r="64" spans="1:16" x14ac:dyDescent="0.35">
      <c r="A64" s="92" t="s">
        <v>11</v>
      </c>
      <c r="B64" s="51">
        <f t="shared" ref="B64:P64" si="30">B60+B61</f>
        <v>8798</v>
      </c>
      <c r="C64" s="51">
        <f t="shared" si="30"/>
        <v>8793.0802976264185</v>
      </c>
      <c r="D64" s="15">
        <f t="shared" si="30"/>
        <v>8787.9992267072121</v>
      </c>
      <c r="E64" s="15">
        <f t="shared" si="30"/>
        <v>8782.5087910090315</v>
      </c>
      <c r="F64" s="15">
        <f t="shared" si="30"/>
        <v>8775.5758346654402</v>
      </c>
      <c r="G64" s="15">
        <f t="shared" si="30"/>
        <v>8767.4177100218803</v>
      </c>
      <c r="H64" s="15">
        <f t="shared" si="30"/>
        <v>8756.6791869016051</v>
      </c>
      <c r="I64" s="15">
        <f t="shared" si="30"/>
        <v>8745.6819776016455</v>
      </c>
      <c r="J64" s="15">
        <f t="shared" si="30"/>
        <v>8731.9912218587306</v>
      </c>
      <c r="K64" s="15">
        <f t="shared" si="30"/>
        <v>8716.340633975602</v>
      </c>
      <c r="L64" s="15">
        <f t="shared" si="30"/>
        <v>8698.1133952758846</v>
      </c>
      <c r="M64" s="15">
        <f t="shared" si="30"/>
        <v>8675.5343944675842</v>
      </c>
      <c r="N64" s="15">
        <f t="shared" si="30"/>
        <v>8654.1626851428882</v>
      </c>
      <c r="O64" s="15">
        <f t="shared" si="30"/>
        <v>8628.2797957647563</v>
      </c>
      <c r="P64" s="15">
        <f t="shared" si="30"/>
        <v>8602.4181394776097</v>
      </c>
    </row>
    <row r="65" spans="1:16" x14ac:dyDescent="0.35">
      <c r="A65" s="92" t="s">
        <v>12</v>
      </c>
      <c r="B65" s="51">
        <f t="shared" ref="B65:P65" si="31">B62+B63</f>
        <v>7391.7430000000004</v>
      </c>
      <c r="C65" s="51">
        <f t="shared" si="31"/>
        <v>7406.3526002794642</v>
      </c>
      <c r="D65" s="15">
        <f t="shared" si="31"/>
        <v>7399.5086467737901</v>
      </c>
      <c r="E65" s="15">
        <f t="shared" si="31"/>
        <v>7392.2661375477992</v>
      </c>
      <c r="F65" s="15">
        <f t="shared" si="31"/>
        <v>7383.6334266124441</v>
      </c>
      <c r="G65" s="15">
        <f t="shared" si="31"/>
        <v>7373.8204352488856</v>
      </c>
      <c r="H65" s="15">
        <f t="shared" si="31"/>
        <v>7361.5277145542823</v>
      </c>
      <c r="I65" s="15">
        <f t="shared" si="31"/>
        <v>7348.9849132893105</v>
      </c>
      <c r="J65" s="15">
        <f t="shared" si="31"/>
        <v>7333.8570878565461</v>
      </c>
      <c r="K65" s="15">
        <f t="shared" si="31"/>
        <v>7316.850113125457</v>
      </c>
      <c r="L65" s="15">
        <f t="shared" si="31"/>
        <v>7297.3745314720727</v>
      </c>
      <c r="M65" s="15">
        <f t="shared" si="31"/>
        <v>7273.7316893272782</v>
      </c>
      <c r="N65" s="15">
        <f t="shared" si="31"/>
        <v>7251.2507336695971</v>
      </c>
      <c r="O65" s="15">
        <f t="shared" si="31"/>
        <v>7224.454405746601</v>
      </c>
      <c r="P65" s="15">
        <f t="shared" si="31"/>
        <v>7197.6859430658478</v>
      </c>
    </row>
    <row r="66" spans="1:16" x14ac:dyDescent="0.35">
      <c r="A66" s="95" t="s">
        <v>58</v>
      </c>
      <c r="B66" s="58"/>
      <c r="C66" s="58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</row>
    <row r="67" spans="1:16" x14ac:dyDescent="0.35">
      <c r="A67" s="92" t="s">
        <v>8</v>
      </c>
      <c r="B67" s="51">
        <v>30839.8</v>
      </c>
      <c r="C67" s="51">
        <v>30984.781498988646</v>
      </c>
      <c r="D67" s="15">
        <v>31129.935113361156</v>
      </c>
      <c r="E67" s="15">
        <v>31274.165841247683</v>
      </c>
      <c r="F67" s="15">
        <v>31412.874574215763</v>
      </c>
      <c r="G67" s="15">
        <v>31546.935805934514</v>
      </c>
      <c r="H67" s="15">
        <v>31670.197082707917</v>
      </c>
      <c r="I67" s="15">
        <v>31792.938698557984</v>
      </c>
      <c r="J67" s="15">
        <v>31904.119575432338</v>
      </c>
      <c r="K67" s="15">
        <v>32006.88945520344</v>
      </c>
      <c r="L67" s="15">
        <v>32098.283680737961</v>
      </c>
      <c r="M67" s="15">
        <v>32169.94039763965</v>
      </c>
      <c r="N67" s="15">
        <v>32247.271646644564</v>
      </c>
      <c r="O67" s="15">
        <v>32864.91975412493</v>
      </c>
      <c r="P67" s="15">
        <v>32921.478158811602</v>
      </c>
    </row>
    <row r="68" spans="1:16" x14ac:dyDescent="0.35">
      <c r="A68" s="92" t="s">
        <v>79</v>
      </c>
      <c r="B68" s="51">
        <v>15399.6</v>
      </c>
      <c r="C68" s="51">
        <v>15399.6</v>
      </c>
      <c r="D68" s="15">
        <v>15399.6</v>
      </c>
      <c r="E68" s="15">
        <v>15399.6</v>
      </c>
      <c r="F68" s="15">
        <v>15399.6</v>
      </c>
      <c r="G68" s="15">
        <v>15399.6</v>
      </c>
      <c r="H68" s="15">
        <v>15399.6</v>
      </c>
      <c r="I68" s="15">
        <v>15399.6</v>
      </c>
      <c r="J68" s="15">
        <v>15399.6</v>
      </c>
      <c r="K68" s="15">
        <v>15399.6</v>
      </c>
      <c r="L68" s="15">
        <v>15399.6</v>
      </c>
      <c r="M68" s="15">
        <v>15399.6</v>
      </c>
      <c r="N68" s="15">
        <v>15399.6</v>
      </c>
      <c r="O68" s="15">
        <v>15399.6</v>
      </c>
      <c r="P68" s="15">
        <v>15399.6</v>
      </c>
    </row>
    <row r="69" spans="1:16" x14ac:dyDescent="0.35">
      <c r="A69" s="92" t="s">
        <v>9</v>
      </c>
      <c r="B69" s="51">
        <v>27361.055999999997</v>
      </c>
      <c r="C69" s="51">
        <v>27535.573465355006</v>
      </c>
      <c r="D69" s="15">
        <v>27654.827781376669</v>
      </c>
      <c r="E69" s="15">
        <v>27773.170769123113</v>
      </c>
      <c r="F69" s="15">
        <v>27886.521634935627</v>
      </c>
      <c r="G69" s="15">
        <v>27995.662811186918</v>
      </c>
      <c r="H69" s="15">
        <v>28095.141952786722</v>
      </c>
      <c r="I69" s="15">
        <v>28194.087060278383</v>
      </c>
      <c r="J69" s="15">
        <v>28282.712106645042</v>
      </c>
      <c r="K69" s="15">
        <v>28363.820493350693</v>
      </c>
      <c r="L69" s="15">
        <v>28434.795166988552</v>
      </c>
      <c r="M69" s="15">
        <v>28488.243277008158</v>
      </c>
      <c r="N69" s="15">
        <v>28546.680514156134</v>
      </c>
      <c r="O69" s="15">
        <v>29147.797697853704</v>
      </c>
      <c r="P69" s="15">
        <v>29187.801024952816</v>
      </c>
    </row>
    <row r="70" spans="1:16" x14ac:dyDescent="0.35">
      <c r="A70" s="92" t="s">
        <v>80</v>
      </c>
      <c r="B70" s="51">
        <v>8957.9739999999983</v>
      </c>
      <c r="C70" s="51">
        <v>8957.9739999999983</v>
      </c>
      <c r="D70" s="15">
        <v>8957.9739999999983</v>
      </c>
      <c r="E70" s="15">
        <v>8957.9739999999983</v>
      </c>
      <c r="F70" s="15">
        <v>8957.9739999999983</v>
      </c>
      <c r="G70" s="15">
        <v>8957.9739999999983</v>
      </c>
      <c r="H70" s="15">
        <v>8957.9739999999983</v>
      </c>
      <c r="I70" s="15">
        <v>8957.9739999999983</v>
      </c>
      <c r="J70" s="15">
        <v>8957.9739999999983</v>
      </c>
      <c r="K70" s="15">
        <v>8957.9739999999983</v>
      </c>
      <c r="L70" s="15">
        <v>8957.9739999999983</v>
      </c>
      <c r="M70" s="15">
        <v>8957.9739999999983</v>
      </c>
      <c r="N70" s="15">
        <v>8957.9739999999983</v>
      </c>
      <c r="O70" s="15">
        <v>8957.9739999999983</v>
      </c>
      <c r="P70" s="15">
        <v>8957.9739999999983</v>
      </c>
    </row>
    <row r="71" spans="1:16" x14ac:dyDescent="0.35">
      <c r="A71" s="92" t="s">
        <v>11</v>
      </c>
      <c r="B71" s="51">
        <f t="shared" ref="B71:P71" si="32">B67+B68</f>
        <v>46239.4</v>
      </c>
      <c r="C71" s="51">
        <f t="shared" si="32"/>
        <v>46384.381498988645</v>
      </c>
      <c r="D71" s="15">
        <f t="shared" si="32"/>
        <v>46529.535113361155</v>
      </c>
      <c r="E71" s="15">
        <f t="shared" si="32"/>
        <v>46673.765841247681</v>
      </c>
      <c r="F71" s="15">
        <f t="shared" si="32"/>
        <v>46812.474574215761</v>
      </c>
      <c r="G71" s="15">
        <f t="shared" si="32"/>
        <v>46946.535805934516</v>
      </c>
      <c r="H71" s="15">
        <f t="shared" si="32"/>
        <v>47069.797082707919</v>
      </c>
      <c r="I71" s="15">
        <f t="shared" si="32"/>
        <v>47192.538698557983</v>
      </c>
      <c r="J71" s="15">
        <f t="shared" si="32"/>
        <v>47303.71957543234</v>
      </c>
      <c r="K71" s="15">
        <f t="shared" si="32"/>
        <v>47406.489455203438</v>
      </c>
      <c r="L71" s="15">
        <f t="shared" si="32"/>
        <v>47497.883680737963</v>
      </c>
      <c r="M71" s="15">
        <f t="shared" si="32"/>
        <v>47569.540397639648</v>
      </c>
      <c r="N71" s="15">
        <f t="shared" si="32"/>
        <v>47646.871646644562</v>
      </c>
      <c r="O71" s="15">
        <f t="shared" si="32"/>
        <v>48264.519754124929</v>
      </c>
      <c r="P71" s="15">
        <f t="shared" si="32"/>
        <v>48321.078158811601</v>
      </c>
    </row>
    <row r="72" spans="1:16" x14ac:dyDescent="0.35">
      <c r="A72" s="92" t="s">
        <v>12</v>
      </c>
      <c r="B72" s="51">
        <f t="shared" ref="B72:P72" si="33">B69+B70</f>
        <v>36319.03</v>
      </c>
      <c r="C72" s="51">
        <f t="shared" si="33"/>
        <v>36493.547465355005</v>
      </c>
      <c r="D72" s="15">
        <f t="shared" si="33"/>
        <v>36612.801781376664</v>
      </c>
      <c r="E72" s="15">
        <f t="shared" si="33"/>
        <v>36731.144769123115</v>
      </c>
      <c r="F72" s="15">
        <f t="shared" si="33"/>
        <v>36844.495634935622</v>
      </c>
      <c r="G72" s="15">
        <f t="shared" si="33"/>
        <v>36953.636811186916</v>
      </c>
      <c r="H72" s="15">
        <f t="shared" si="33"/>
        <v>37053.11595278672</v>
      </c>
      <c r="I72" s="15">
        <f t="shared" si="33"/>
        <v>37152.061060278385</v>
      </c>
      <c r="J72" s="15">
        <f t="shared" si="33"/>
        <v>37240.686106645036</v>
      </c>
      <c r="K72" s="15">
        <f t="shared" si="33"/>
        <v>37321.794493350695</v>
      </c>
      <c r="L72" s="15">
        <f t="shared" si="33"/>
        <v>37392.769166988553</v>
      </c>
      <c r="M72" s="15">
        <f t="shared" si="33"/>
        <v>37446.217277008152</v>
      </c>
      <c r="N72" s="15">
        <f t="shared" si="33"/>
        <v>37504.654514156136</v>
      </c>
      <c r="O72" s="15">
        <f t="shared" si="33"/>
        <v>38105.771697853706</v>
      </c>
      <c r="P72" s="15">
        <f t="shared" si="33"/>
        <v>38145.775024952818</v>
      </c>
    </row>
    <row r="73" spans="1:16" x14ac:dyDescent="0.35">
      <c r="A73" s="100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x14ac:dyDescent="0.35">
      <c r="A74" s="99" t="s">
        <v>55</v>
      </c>
      <c r="B74" s="18">
        <v>2022</v>
      </c>
      <c r="C74" s="18">
        <f>B74+1</f>
        <v>2023</v>
      </c>
      <c r="D74" s="18">
        <v>2024</v>
      </c>
      <c r="E74" s="18">
        <f t="shared" ref="E74:P74" si="34">D74+1</f>
        <v>2025</v>
      </c>
      <c r="F74" s="18">
        <f t="shared" si="34"/>
        <v>2026</v>
      </c>
      <c r="G74" s="18">
        <f t="shared" si="34"/>
        <v>2027</v>
      </c>
      <c r="H74" s="18">
        <f t="shared" si="34"/>
        <v>2028</v>
      </c>
      <c r="I74" s="18">
        <f t="shared" si="34"/>
        <v>2029</v>
      </c>
      <c r="J74" s="18">
        <f t="shared" si="34"/>
        <v>2030</v>
      </c>
      <c r="K74" s="18">
        <f t="shared" si="34"/>
        <v>2031</v>
      </c>
      <c r="L74" s="18">
        <f t="shared" si="34"/>
        <v>2032</v>
      </c>
      <c r="M74" s="18">
        <f t="shared" si="34"/>
        <v>2033</v>
      </c>
      <c r="N74" s="18">
        <f t="shared" si="34"/>
        <v>2034</v>
      </c>
      <c r="O74" s="18">
        <f t="shared" si="34"/>
        <v>2035</v>
      </c>
      <c r="P74" s="18">
        <f t="shared" si="34"/>
        <v>2036</v>
      </c>
    </row>
    <row r="75" spans="1:16" x14ac:dyDescent="0.35">
      <c r="A75" s="99" t="s">
        <v>54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30"/>
    </row>
    <row r="76" spans="1:16" x14ac:dyDescent="0.35">
      <c r="A76" s="101" t="s">
        <v>75</v>
      </c>
      <c r="B76" s="57"/>
      <c r="C76" s="64">
        <f>1.868/1.2</f>
        <v>1.5566666666666669</v>
      </c>
      <c r="D76" s="62">
        <f>C76*1.19307</f>
        <v>1.8572123000000003</v>
      </c>
      <c r="E76" s="62">
        <f>D76*1.11171</f>
        <v>2.0646814860330003</v>
      </c>
      <c r="F76" s="62">
        <f>E76*1.043438</f>
        <v>2.1543671204233021</v>
      </c>
      <c r="G76" s="62">
        <f>F76*1.102816</f>
        <v>2.3758705302767442</v>
      </c>
      <c r="H76" s="1">
        <f>G76*1.097115</f>
        <v>2.6066031968245702</v>
      </c>
      <c r="I76" s="1">
        <f>H76*1.0968323</f>
        <v>2.8590065795604458</v>
      </c>
      <c r="J76" s="1">
        <f>I76*1.099083</f>
        <v>3.1422855284830336</v>
      </c>
      <c r="K76" s="1">
        <f>J76*1.092923</f>
        <v>3.4342761266462629</v>
      </c>
      <c r="L76" s="1">
        <f>K76*1.082269</f>
        <v>3.7168105893093242</v>
      </c>
      <c r="M76" s="1">
        <f>L76*1.08156</f>
        <v>4.0199536609733926</v>
      </c>
      <c r="N76" s="1">
        <f>M76*1.078715</f>
        <v>4.3363843133969135</v>
      </c>
      <c r="O76" s="1">
        <f>N76*1.0571232</f>
        <v>4.5840924618079475</v>
      </c>
      <c r="P76" s="1">
        <f>O76*1.0788</f>
        <v>4.9453189477984134</v>
      </c>
    </row>
    <row r="77" spans="1:16" x14ac:dyDescent="0.35">
      <c r="A77" s="102" t="s">
        <v>46</v>
      </c>
      <c r="B77" s="57"/>
      <c r="C77" s="64">
        <f>1.963/1.2</f>
        <v>1.6358333333333335</v>
      </c>
      <c r="D77" s="62">
        <f t="shared" ref="D77:D79" si="35">C77*1.19307</f>
        <v>1.9516636750000003</v>
      </c>
      <c r="E77" s="62">
        <f t="shared" ref="E77:E79" si="36">D77*1.11171</f>
        <v>2.1696840241342503</v>
      </c>
      <c r="F77" s="62">
        <f t="shared" ref="F77:F79" si="37">E77*1.043438</f>
        <v>2.263930758774594</v>
      </c>
      <c r="G77" s="62">
        <f t="shared" ref="G77:G79" si="38">F77*1.102816</f>
        <v>2.4966990636687627</v>
      </c>
      <c r="H77" s="1">
        <f t="shared" ref="H77:H79" si="39">G77*1.097115</f>
        <v>2.7391659932369548</v>
      </c>
      <c r="I77" s="1">
        <f t="shared" ref="I77:I79" si="40">H77*1.0968323</f>
        <v>3.0044057364438737</v>
      </c>
      <c r="J77" s="1">
        <f t="shared" ref="J77:J79" si="41">I77*1.099083</f>
        <v>3.3020912700279421</v>
      </c>
      <c r="K77" s="1">
        <f t="shared" ref="K77:K79" si="42">J77*1.092923</f>
        <v>3.6089314971127489</v>
      </c>
      <c r="L77" s="1">
        <f t="shared" ref="L77:L79" si="43">K77*1.082269</f>
        <v>3.9058346824487171</v>
      </c>
      <c r="M77" s="1">
        <f t="shared" ref="M77:M79" si="44">L77*1.08156</f>
        <v>4.2243945591492347</v>
      </c>
      <c r="N77" s="1">
        <f t="shared" ref="N77:N79" si="45">M77*1.078715</f>
        <v>4.556917776872667</v>
      </c>
      <c r="O77" s="1">
        <f t="shared" ref="O77:O94" si="46">N77*1.0571232</f>
        <v>4.8172235024245191</v>
      </c>
      <c r="P77" s="1">
        <f t="shared" ref="P77:P79" si="47">O77*1.0788</f>
        <v>5.1968207144155709</v>
      </c>
    </row>
    <row r="78" spans="1:16" x14ac:dyDescent="0.35">
      <c r="A78" s="101" t="s">
        <v>76</v>
      </c>
      <c r="B78" s="57"/>
      <c r="C78" s="64">
        <f>2.489/1.2</f>
        <v>2.0741666666666667</v>
      </c>
      <c r="D78" s="62">
        <f t="shared" si="35"/>
        <v>2.4746260250000001</v>
      </c>
      <c r="E78" s="62">
        <f t="shared" si="36"/>
        <v>2.75106649825275</v>
      </c>
      <c r="F78" s="62">
        <f t="shared" si="37"/>
        <v>2.870567324803853</v>
      </c>
      <c r="G78" s="62">
        <f t="shared" si="38"/>
        <v>3.1657075748708858</v>
      </c>
      <c r="H78" s="1">
        <f t="shared" si="39"/>
        <v>3.4731452660044719</v>
      </c>
      <c r="I78" s="1">
        <f t="shared" si="40"/>
        <v>3.8094579103457966</v>
      </c>
      <c r="J78" s="1">
        <f t="shared" si="41"/>
        <v>4.1869104284765895</v>
      </c>
      <c r="K78" s="1">
        <f t="shared" si="42"/>
        <v>4.5759707062219199</v>
      </c>
      <c r="L78" s="1">
        <f t="shared" si="43"/>
        <v>4.9524312402520909</v>
      </c>
      <c r="M78" s="1">
        <f t="shared" si="44"/>
        <v>5.3563515322070518</v>
      </c>
      <c r="N78" s="1">
        <f t="shared" si="45"/>
        <v>5.7779767430647304</v>
      </c>
      <c r="O78" s="1">
        <f t="shared" si="46"/>
        <v>6.108033264154165</v>
      </c>
      <c r="P78" s="1">
        <f t="shared" si="47"/>
        <v>6.5893462853695128</v>
      </c>
    </row>
    <row r="79" spans="1:16" x14ac:dyDescent="0.35">
      <c r="A79" s="102" t="s">
        <v>47</v>
      </c>
      <c r="B79" s="57"/>
      <c r="C79" s="64">
        <f>2.579/1.2</f>
        <v>2.1491666666666669</v>
      </c>
      <c r="D79" s="62">
        <f t="shared" si="35"/>
        <v>2.5641062750000003</v>
      </c>
      <c r="E79" s="62">
        <f t="shared" si="36"/>
        <v>2.8505425869802501</v>
      </c>
      <c r="F79" s="62">
        <f t="shared" si="37"/>
        <v>2.9743644558734985</v>
      </c>
      <c r="G79" s="62">
        <f t="shared" si="38"/>
        <v>3.280176711768588</v>
      </c>
      <c r="H79" s="1">
        <f t="shared" si="39"/>
        <v>3.5987310731319946</v>
      </c>
      <c r="I79" s="1">
        <f t="shared" si="40"/>
        <v>3.9472044800248338</v>
      </c>
      <c r="J79" s="1">
        <f t="shared" si="41"/>
        <v>4.3383053415191348</v>
      </c>
      <c r="K79" s="1">
        <f t="shared" si="42"/>
        <v>4.741433688769118</v>
      </c>
      <c r="L79" s="1">
        <f t="shared" si="43"/>
        <v>5.1315066969104643</v>
      </c>
      <c r="M79" s="1">
        <f t="shared" si="44"/>
        <v>5.5500323831104819</v>
      </c>
      <c r="N79" s="1">
        <f t="shared" si="45"/>
        <v>5.9869031821470235</v>
      </c>
      <c r="O79" s="1">
        <f t="shared" si="46"/>
        <v>6.3288942500014436</v>
      </c>
      <c r="P79" s="1">
        <f t="shared" si="47"/>
        <v>6.827611116901557</v>
      </c>
    </row>
    <row r="80" spans="1:16" x14ac:dyDescent="0.35">
      <c r="A80" s="99" t="s">
        <v>57</v>
      </c>
      <c r="B80" s="18"/>
      <c r="C80" s="58"/>
      <c r="D80" s="62"/>
      <c r="E80" s="62"/>
      <c r="F80" s="62"/>
      <c r="G80" s="62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35">
      <c r="A81" s="101" t="s">
        <v>75</v>
      </c>
      <c r="B81" s="57"/>
      <c r="C81" s="64">
        <f>1.843/1.2</f>
        <v>1.5358333333333334</v>
      </c>
      <c r="D81" s="62">
        <f>C81*1.19307</f>
        <v>1.8323566750000002</v>
      </c>
      <c r="E81" s="62">
        <f>D81*1.11171</f>
        <v>2.0370492391642503</v>
      </c>
      <c r="F81" s="62">
        <f>E81*1.043438</f>
        <v>2.125534584015067</v>
      </c>
      <c r="G81" s="62">
        <f>F81*1.102816</f>
        <v>2.3440735478051602</v>
      </c>
      <c r="H81" s="1">
        <f>G81*1.097115</f>
        <v>2.5717182504002585</v>
      </c>
      <c r="I81" s="1">
        <f>H81*1.096832</f>
        <v>2.8207428720230165</v>
      </c>
      <c r="J81" s="1">
        <f>I81*1.099083</f>
        <v>3.1002305380116733</v>
      </c>
      <c r="K81" s="1">
        <f>J81*1.092923</f>
        <v>3.3883132602953321</v>
      </c>
      <c r="L81" s="1">
        <f>K81*1.082269</f>
        <v>3.6670664039065684</v>
      </c>
      <c r="M81" s="1">
        <f>L81*1.08155</f>
        <v>3.9661156691451489</v>
      </c>
      <c r="N81" s="1">
        <f>M81*1.078715</f>
        <v>4.2783084640419098</v>
      </c>
      <c r="O81" s="1">
        <f t="shared" si="46"/>
        <v>4.5226991340950686</v>
      </c>
      <c r="P81" s="1">
        <f>O81*1.07879</f>
        <v>4.8790425988704191</v>
      </c>
    </row>
    <row r="82" spans="1:16" x14ac:dyDescent="0.35">
      <c r="A82" s="102" t="s">
        <v>46</v>
      </c>
      <c r="B82" s="57"/>
      <c r="C82" s="64">
        <f>1.972/1.2</f>
        <v>1.6433333333333333</v>
      </c>
      <c r="D82" s="62">
        <f t="shared" ref="D82:D84" si="48">C82*1.19307</f>
        <v>1.9606117000000001</v>
      </c>
      <c r="E82" s="62">
        <f t="shared" ref="E82:E84" si="49">D82*1.11171</f>
        <v>2.1796316330070002</v>
      </c>
      <c r="F82" s="62">
        <f t="shared" ref="F82:F84" si="50">E82*1.043438</f>
        <v>2.2743104718815585</v>
      </c>
      <c r="G82" s="62">
        <f t="shared" ref="G82:G84" si="51">F82*1.102816</f>
        <v>2.5081459773585331</v>
      </c>
      <c r="H82" s="1">
        <f t="shared" ref="H82:H84" si="52">G82*1.097115</f>
        <v>2.7517245739497072</v>
      </c>
      <c r="I82" s="1">
        <f t="shared" ref="I82:I84" si="53">H82*1.096832</f>
        <v>3.0181795678944052</v>
      </c>
      <c r="J82" s="1">
        <f t="shared" ref="J82:J84" si="54">I82*1.099083</f>
        <v>3.3172298540200869</v>
      </c>
      <c r="K82" s="1">
        <f t="shared" ref="K82:K84" si="55">J82*1.092923</f>
        <v>3.6254768037451957</v>
      </c>
      <c r="L82" s="1">
        <f t="shared" ref="L82:L84" si="56">K82*1.082269</f>
        <v>3.9237411549125087</v>
      </c>
      <c r="M82" s="1">
        <f t="shared" ref="M82:M84" si="57">L82*1.08155</f>
        <v>4.2437222460956239</v>
      </c>
      <c r="N82" s="1">
        <f t="shared" ref="N82:N84" si="58">M82*1.078715</f>
        <v>4.5777668426970415</v>
      </c>
      <c r="O82" s="1">
        <f t="shared" si="46"/>
        <v>4.8392635336057932</v>
      </c>
      <c r="P82" s="1">
        <f t="shared" ref="P82:P84" si="59">O82*1.07879</f>
        <v>5.2205491074185932</v>
      </c>
    </row>
    <row r="83" spans="1:16" x14ac:dyDescent="0.35">
      <c r="A83" s="101" t="s">
        <v>76</v>
      </c>
      <c r="B83" s="57"/>
      <c r="C83" s="64">
        <f>2.484/1.2</f>
        <v>2.0700000000000003</v>
      </c>
      <c r="D83" s="62">
        <f t="shared" si="48"/>
        <v>2.4696549000000005</v>
      </c>
      <c r="E83" s="62">
        <f t="shared" si="49"/>
        <v>2.7455400488790005</v>
      </c>
      <c r="F83" s="62">
        <f t="shared" si="50"/>
        <v>2.8648008175222066</v>
      </c>
      <c r="G83" s="62">
        <f t="shared" si="51"/>
        <v>3.15934817837657</v>
      </c>
      <c r="H83" s="1">
        <f t="shared" si="52"/>
        <v>3.4661682767196109</v>
      </c>
      <c r="I83" s="1">
        <f t="shared" si="53"/>
        <v>3.8018042832909242</v>
      </c>
      <c r="J83" s="1">
        <f t="shared" si="54"/>
        <v>4.178498457092239</v>
      </c>
      <c r="K83" s="1">
        <f t="shared" si="55"/>
        <v>4.5667770692206213</v>
      </c>
      <c r="L83" s="1">
        <f t="shared" si="56"/>
        <v>4.9424812519283323</v>
      </c>
      <c r="M83" s="1">
        <f t="shared" si="57"/>
        <v>5.3455405980230877</v>
      </c>
      <c r="N83" s="1">
        <f t="shared" si="58"/>
        <v>5.7663148261964752</v>
      </c>
      <c r="O83" s="1">
        <f t="shared" si="46"/>
        <v>6.0957051812762613</v>
      </c>
      <c r="P83" s="1">
        <f t="shared" si="59"/>
        <v>6.5759857925090177</v>
      </c>
    </row>
    <row r="84" spans="1:16" x14ac:dyDescent="0.35">
      <c r="A84" s="102" t="s">
        <v>47</v>
      </c>
      <c r="B84" s="57"/>
      <c r="C84" s="64">
        <f>2.612/1.2</f>
        <v>2.1766666666666667</v>
      </c>
      <c r="D84" s="62">
        <f t="shared" si="48"/>
        <v>2.5969157000000003</v>
      </c>
      <c r="E84" s="62">
        <f t="shared" si="49"/>
        <v>2.8870171528470001</v>
      </c>
      <c r="F84" s="62">
        <f t="shared" si="50"/>
        <v>3.0124234039323685</v>
      </c>
      <c r="G84" s="62">
        <f t="shared" si="51"/>
        <v>3.3221487286310789</v>
      </c>
      <c r="H84" s="1">
        <f t="shared" si="52"/>
        <v>3.6447792024120864</v>
      </c>
      <c r="I84" s="1">
        <f t="shared" si="53"/>
        <v>3.9977104621400539</v>
      </c>
      <c r="J84" s="1">
        <f t="shared" si="54"/>
        <v>4.3938156078602768</v>
      </c>
      <c r="K84" s="1">
        <f t="shared" si="55"/>
        <v>4.802102135589478</v>
      </c>
      <c r="L84" s="1">
        <f t="shared" si="56"/>
        <v>5.1971662761822888</v>
      </c>
      <c r="M84" s="1">
        <f t="shared" si="57"/>
        <v>5.6209951860049543</v>
      </c>
      <c r="N84" s="1">
        <f t="shared" si="58"/>
        <v>6.0634518220713352</v>
      </c>
      <c r="O84" s="1">
        <f t="shared" si="46"/>
        <v>6.4098155931938798</v>
      </c>
      <c r="P84" s="1">
        <f t="shared" si="59"/>
        <v>6.9148449637816247</v>
      </c>
    </row>
    <row r="85" spans="1:16" x14ac:dyDescent="0.35">
      <c r="A85" s="99" t="s">
        <v>56</v>
      </c>
      <c r="B85" s="18"/>
      <c r="C85" s="58"/>
      <c r="D85" s="62"/>
      <c r="E85" s="62"/>
      <c r="F85" s="62"/>
      <c r="G85" s="62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35">
      <c r="A86" s="101" t="s">
        <v>75</v>
      </c>
      <c r="B86" s="57"/>
      <c r="C86" s="64">
        <f>1.864/1.2</f>
        <v>1.5533333333333335</v>
      </c>
      <c r="D86" s="62">
        <f>C86*1.193</f>
        <v>1.8531266666666668</v>
      </c>
      <c r="E86" s="62">
        <f>D86*1.11171</f>
        <v>2.0601394466</v>
      </c>
      <c r="F86" s="62">
        <f>E86*1.043438</f>
        <v>2.1496277838814111</v>
      </c>
      <c r="G86" s="62">
        <f>F86*1.102818</f>
        <v>2.3706482133645301</v>
      </c>
      <c r="H86" s="1">
        <f>G86*1.097115</f>
        <v>2.6008737146054268</v>
      </c>
      <c r="I86" s="1">
        <f>H86*1.096832</f>
        <v>2.8527215181380994</v>
      </c>
      <c r="J86" s="1">
        <f>I86*1.099083</f>
        <v>3.1353777243197767</v>
      </c>
      <c r="K86" s="1">
        <f>J86*1.092923</f>
        <v>3.4267264285967434</v>
      </c>
      <c r="L86" s="1">
        <f>K86*1.082269</f>
        <v>3.7086397851509685</v>
      </c>
      <c r="M86" s="1">
        <f>L86*1.08155</f>
        <v>4.0110793596300303</v>
      </c>
      <c r="N86" s="1">
        <f>M86*1.0787</f>
        <v>4.3267513052329134</v>
      </c>
      <c r="O86" s="1">
        <f t="shared" si="46"/>
        <v>4.5739091853919938</v>
      </c>
      <c r="P86" s="1">
        <f>O86*1.07879</f>
        <v>4.9342874901090283</v>
      </c>
    </row>
    <row r="87" spans="1:16" x14ac:dyDescent="0.35">
      <c r="A87" s="102" t="s">
        <v>46</v>
      </c>
      <c r="B87" s="57"/>
      <c r="C87" s="64">
        <f>2.02/1.2</f>
        <v>1.6833333333333333</v>
      </c>
      <c r="D87" s="62">
        <f t="shared" ref="D87:D89" si="60">C87*1.193</f>
        <v>2.0082166666666668</v>
      </c>
      <c r="E87" s="62">
        <f t="shared" ref="E87:E89" si="61">D87*1.11171</f>
        <v>2.2325545505000002</v>
      </c>
      <c r="F87" s="62">
        <f t="shared" ref="F87:F89" si="62">E87*1.043438</f>
        <v>2.3295322550646196</v>
      </c>
      <c r="G87" s="62">
        <f t="shared" ref="G87:G89" si="63">F87*1.102818</f>
        <v>2.5690501024658539</v>
      </c>
      <c r="H87" s="1">
        <f t="shared" ref="H87:H89" si="64">G87*1.097115</f>
        <v>2.8185434031668253</v>
      </c>
      <c r="I87" s="1">
        <f t="shared" ref="I87:I89" si="65">H87*1.096832</f>
        <v>3.0914685979822756</v>
      </c>
      <c r="J87" s="1">
        <f t="shared" ref="J87:J89" si="66">I87*1.099083</f>
        <v>3.3977805810761534</v>
      </c>
      <c r="K87" s="1">
        <f t="shared" ref="K87:K89" si="67">J87*1.092923</f>
        <v>3.7135125460114931</v>
      </c>
      <c r="L87" s="1">
        <f t="shared" ref="L87:L89" si="68">K87*1.082269</f>
        <v>4.0190195096593122</v>
      </c>
      <c r="M87" s="1">
        <f t="shared" ref="M87:M89" si="69">L87*1.08155</f>
        <v>4.3467705506720291</v>
      </c>
      <c r="N87" s="1">
        <f t="shared" ref="N87:N89" si="70">M87*1.0787</f>
        <v>4.6888613930099181</v>
      </c>
      <c r="O87" s="1">
        <f t="shared" si="46"/>
        <v>4.9567041601351018</v>
      </c>
      <c r="P87" s="1">
        <f t="shared" ref="P87:P89" si="71">O87*1.07879</f>
        <v>5.3472428809121464</v>
      </c>
    </row>
    <row r="88" spans="1:16" x14ac:dyDescent="0.35">
      <c r="A88" s="101" t="s">
        <v>76</v>
      </c>
      <c r="B88" s="57"/>
      <c r="C88" s="64">
        <f>2.5/1.2</f>
        <v>2.0833333333333335</v>
      </c>
      <c r="D88" s="62">
        <f t="shared" si="60"/>
        <v>2.4854166666666671</v>
      </c>
      <c r="E88" s="62">
        <f t="shared" si="61"/>
        <v>2.7630625625000005</v>
      </c>
      <c r="F88" s="62">
        <f t="shared" si="62"/>
        <v>2.8830844740898756</v>
      </c>
      <c r="G88" s="62">
        <f t="shared" si="63"/>
        <v>3.1795174535468487</v>
      </c>
      <c r="H88" s="1">
        <f t="shared" si="64"/>
        <v>3.4882962910480511</v>
      </c>
      <c r="I88" s="1">
        <f t="shared" si="65"/>
        <v>3.8260749975028161</v>
      </c>
      <c r="J88" s="1">
        <f t="shared" si="66"/>
        <v>4.2051739864803874</v>
      </c>
      <c r="K88" s="1">
        <f t="shared" si="67"/>
        <v>4.595931368826105</v>
      </c>
      <c r="L88" s="1">
        <f t="shared" si="68"/>
        <v>4.9740340466080593</v>
      </c>
      <c r="M88" s="1">
        <f t="shared" si="69"/>
        <v>5.3796665231089467</v>
      </c>
      <c r="N88" s="1">
        <f t="shared" si="70"/>
        <v>5.8030462784776207</v>
      </c>
      <c r="O88" s="1">
        <f t="shared" si="46"/>
        <v>6.1345348516523535</v>
      </c>
      <c r="P88" s="1">
        <f t="shared" si="71"/>
        <v>6.6178748526140421</v>
      </c>
    </row>
    <row r="89" spans="1:16" x14ac:dyDescent="0.35">
      <c r="A89" s="102" t="s">
        <v>47</v>
      </c>
      <c r="B89" s="57"/>
      <c r="C89" s="64">
        <f>2.69/1.2</f>
        <v>2.2416666666666667</v>
      </c>
      <c r="D89" s="62">
        <f t="shared" si="60"/>
        <v>2.6743083333333333</v>
      </c>
      <c r="E89" s="62">
        <f t="shared" si="61"/>
        <v>2.9730553172500001</v>
      </c>
      <c r="F89" s="62">
        <f t="shared" si="62"/>
        <v>3.1021988941207059</v>
      </c>
      <c r="G89" s="62">
        <f t="shared" si="63"/>
        <v>3.4211607800164088</v>
      </c>
      <c r="H89" s="1">
        <f t="shared" si="64"/>
        <v>3.7534068091677026</v>
      </c>
      <c r="I89" s="1">
        <f t="shared" si="65"/>
        <v>4.1168566973130298</v>
      </c>
      <c r="J89" s="1">
        <f t="shared" si="66"/>
        <v>4.5247672094528966</v>
      </c>
      <c r="K89" s="1">
        <f t="shared" si="67"/>
        <v>4.9452221528568883</v>
      </c>
      <c r="L89" s="1">
        <f t="shared" si="68"/>
        <v>5.3520606341502717</v>
      </c>
      <c r="M89" s="1">
        <f t="shared" si="69"/>
        <v>5.788521178865226</v>
      </c>
      <c r="N89" s="1">
        <f t="shared" si="70"/>
        <v>6.2440777956419193</v>
      </c>
      <c r="O89" s="1">
        <f t="shared" si="46"/>
        <v>6.6007595003779311</v>
      </c>
      <c r="P89" s="1">
        <f t="shared" si="71"/>
        <v>7.1208333414127081</v>
      </c>
    </row>
    <row r="90" spans="1:16" x14ac:dyDescent="0.35">
      <c r="A90" s="99" t="s">
        <v>58</v>
      </c>
      <c r="B90" s="18"/>
      <c r="C90" s="58"/>
      <c r="D90" s="62"/>
      <c r="E90" s="62"/>
      <c r="F90" s="62"/>
      <c r="G90" s="62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35">
      <c r="A91" s="99" t="s">
        <v>75</v>
      </c>
      <c r="B91" s="57"/>
      <c r="C91" s="64">
        <f>1.885/1.2</f>
        <v>1.5708333333333333</v>
      </c>
      <c r="D91" s="62">
        <f>C91*1.193</f>
        <v>1.8740041666666667</v>
      </c>
      <c r="E91" s="62">
        <f>D91*1.11171</f>
        <v>2.0833491721250001</v>
      </c>
      <c r="F91" s="62">
        <f>E91*1.043438</f>
        <v>2.173845693463766</v>
      </c>
      <c r="G91" s="62">
        <f>F91*1.102818</f>
        <v>2.3973561599743238</v>
      </c>
      <c r="H91" s="1">
        <f>G91*1.097115</f>
        <v>2.6301754034502305</v>
      </c>
      <c r="I91" s="1">
        <f>H91*1.096832</f>
        <v>2.8848605481171234</v>
      </c>
      <c r="J91" s="1">
        <f>I91*1.099083</f>
        <v>3.1707011858062124</v>
      </c>
      <c r="K91" s="1">
        <f>J91*1.092923</f>
        <v>3.4653322520948833</v>
      </c>
      <c r="L91" s="1">
        <f>K91*1.082269</f>
        <v>3.7504216711424769</v>
      </c>
      <c r="M91" s="1">
        <f>L91*1.08155</f>
        <v>4.0562685584241462</v>
      </c>
      <c r="N91" s="1">
        <f>M91*1.0787</f>
        <v>4.3754968939721266</v>
      </c>
      <c r="O91" s="1">
        <f t="shared" si="46"/>
        <v>4.6254392781458753</v>
      </c>
      <c r="P91" s="1">
        <f>O91*1.0788</f>
        <v>4.9899238932637706</v>
      </c>
    </row>
    <row r="92" spans="1:16" x14ac:dyDescent="0.35">
      <c r="A92" s="99" t="s">
        <v>46</v>
      </c>
      <c r="B92" s="57"/>
      <c r="C92" s="64">
        <f>1.885/1.2</f>
        <v>1.5708333333333333</v>
      </c>
      <c r="D92" s="62">
        <f t="shared" ref="D92:D94" si="72">C92*1.193</f>
        <v>1.8740041666666667</v>
      </c>
      <c r="E92" s="62">
        <f t="shared" ref="E92:E94" si="73">D92*1.11171</f>
        <v>2.0833491721250001</v>
      </c>
      <c r="F92" s="62">
        <f t="shared" ref="F92:F94" si="74">E92*1.043438</f>
        <v>2.173845693463766</v>
      </c>
      <c r="G92" s="62">
        <f t="shared" ref="G92:G94" si="75">F92*1.102818</f>
        <v>2.3973561599743238</v>
      </c>
      <c r="H92" s="1">
        <f t="shared" ref="H92:H94" si="76">G92*1.097115</f>
        <v>2.6301754034502305</v>
      </c>
      <c r="I92" s="1">
        <f t="shared" ref="I92:I94" si="77">H92*1.096832</f>
        <v>2.8848605481171234</v>
      </c>
      <c r="J92" s="1">
        <f t="shared" ref="J92:J94" si="78">I92*1.099083</f>
        <v>3.1707011858062124</v>
      </c>
      <c r="K92" s="1">
        <f t="shared" ref="K92:K94" si="79">J92*1.092923</f>
        <v>3.4653322520948833</v>
      </c>
      <c r="L92" s="1">
        <f t="shared" ref="L92:L94" si="80">K92*1.082269</f>
        <v>3.7504216711424769</v>
      </c>
      <c r="M92" s="1">
        <f t="shared" ref="M92:M94" si="81">L92*1.08155</f>
        <v>4.0562685584241462</v>
      </c>
      <c r="N92" s="1">
        <f t="shared" ref="N92:N94" si="82">M92*1.0787</f>
        <v>4.3754968939721266</v>
      </c>
      <c r="O92" s="1">
        <f t="shared" si="46"/>
        <v>4.6254392781458753</v>
      </c>
      <c r="P92" s="1">
        <f t="shared" ref="P92:P94" si="83">O92*1.0788</f>
        <v>4.9899238932637706</v>
      </c>
    </row>
    <row r="93" spans="1:16" x14ac:dyDescent="0.35">
      <c r="A93" s="99" t="s">
        <v>76</v>
      </c>
      <c r="B93" s="57"/>
      <c r="C93" s="64">
        <f>2.514/1.2</f>
        <v>2.0949999999999998</v>
      </c>
      <c r="D93" s="62">
        <f t="shared" si="72"/>
        <v>2.4993349999999999</v>
      </c>
      <c r="E93" s="62">
        <f t="shared" si="73"/>
        <v>2.7785357128499997</v>
      </c>
      <c r="F93" s="62">
        <f t="shared" si="74"/>
        <v>2.8992297471447781</v>
      </c>
      <c r="G93" s="62">
        <f t="shared" si="75"/>
        <v>3.19732275128671</v>
      </c>
      <c r="H93" s="1">
        <f t="shared" si="76"/>
        <v>3.5078307502779191</v>
      </c>
      <c r="I93" s="1">
        <f t="shared" si="77"/>
        <v>3.8475010174888307</v>
      </c>
      <c r="J93" s="1">
        <f t="shared" si="78"/>
        <v>4.228722960804677</v>
      </c>
      <c r="K93" s="1">
        <f t="shared" si="79"/>
        <v>4.6216685844915304</v>
      </c>
      <c r="L93" s="1">
        <f t="shared" si="80"/>
        <v>5.0018886372690634</v>
      </c>
      <c r="M93" s="1">
        <f t="shared" si="81"/>
        <v>5.4097926556383555</v>
      </c>
      <c r="N93" s="1">
        <f t="shared" si="82"/>
        <v>5.8355433376370938</v>
      </c>
      <c r="O93" s="1">
        <f t="shared" si="46"/>
        <v>6.1688882468216049</v>
      </c>
      <c r="P93" s="1">
        <f t="shared" si="83"/>
        <v>6.6549966406711469</v>
      </c>
    </row>
    <row r="94" spans="1:16" x14ac:dyDescent="0.35">
      <c r="A94" s="99" t="s">
        <v>47</v>
      </c>
      <c r="B94" s="57"/>
      <c r="C94" s="64">
        <f>2.514/1.2</f>
        <v>2.0949999999999998</v>
      </c>
      <c r="D94" s="62">
        <f t="shared" si="72"/>
        <v>2.4993349999999999</v>
      </c>
      <c r="E94" s="62">
        <f t="shared" si="73"/>
        <v>2.7785357128499997</v>
      </c>
      <c r="F94" s="62">
        <f t="shared" si="74"/>
        <v>2.8992297471447781</v>
      </c>
      <c r="G94" s="62">
        <f t="shared" si="75"/>
        <v>3.19732275128671</v>
      </c>
      <c r="H94" s="1">
        <f t="shared" si="76"/>
        <v>3.5078307502779191</v>
      </c>
      <c r="I94" s="1">
        <f t="shared" si="77"/>
        <v>3.8475010174888307</v>
      </c>
      <c r="J94" s="1">
        <f t="shared" si="78"/>
        <v>4.228722960804677</v>
      </c>
      <c r="K94" s="1">
        <f t="shared" si="79"/>
        <v>4.6216685844915304</v>
      </c>
      <c r="L94" s="1">
        <f t="shared" si="80"/>
        <v>5.0018886372690634</v>
      </c>
      <c r="M94" s="1">
        <f t="shared" si="81"/>
        <v>5.4097926556383555</v>
      </c>
      <c r="N94" s="1">
        <f t="shared" si="82"/>
        <v>5.8355433376370938</v>
      </c>
      <c r="O94" s="1">
        <f t="shared" si="46"/>
        <v>6.1688882468216049</v>
      </c>
      <c r="P94" s="1">
        <f t="shared" si="83"/>
        <v>6.6549966406711469</v>
      </c>
    </row>
    <row r="95" spans="1:16" x14ac:dyDescent="0.35">
      <c r="A95" s="100"/>
      <c r="B95" s="59"/>
      <c r="C95" s="60"/>
      <c r="D95" s="60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  <row r="96" spans="1:16" x14ac:dyDescent="0.35">
      <c r="A96" s="99" t="s">
        <v>69</v>
      </c>
      <c r="B96" s="57"/>
      <c r="C96" s="17"/>
      <c r="D96" s="67">
        <f>D108+D109+D110+D111</f>
        <v>1096407.6406798854</v>
      </c>
      <c r="E96" s="67">
        <f>E108+E109+E110+E111</f>
        <v>1222264.2024455455</v>
      </c>
      <c r="F96" s="67">
        <f>F108+F109+F110+F111</f>
        <v>1278689.4178927327</v>
      </c>
      <c r="G96" s="67">
        <f t="shared" ref="G96:P96" si="84">G108+G109+G110+G111</f>
        <v>1413653.5313329466</v>
      </c>
      <c r="H96" s="67">
        <f t="shared" si="84"/>
        <v>1559778.9172748728</v>
      </c>
      <c r="I96" s="67">
        <f t="shared" si="84"/>
        <v>1714483.5500258459</v>
      </c>
      <c r="J96" s="67">
        <f t="shared" si="84"/>
        <v>1891966.0168153874</v>
      </c>
      <c r="K96" s="67">
        <f t="shared" si="84"/>
        <v>2072114.571232917</v>
      </c>
      <c r="L96" s="67">
        <f t="shared" si="84"/>
        <v>2245586.9399905945</v>
      </c>
      <c r="M96" s="67">
        <f t="shared" si="84"/>
        <v>2430815.5009736363</v>
      </c>
      <c r="N96" s="67">
        <f t="shared" si="84"/>
        <v>2624702.4372257181</v>
      </c>
      <c r="O96" s="67">
        <f t="shared" si="84"/>
        <v>2781995.4625258455</v>
      </c>
      <c r="P96" s="67">
        <f t="shared" si="84"/>
        <v>3002576.1841329196</v>
      </c>
    </row>
    <row r="97" spans="1:16" x14ac:dyDescent="0.35">
      <c r="A97" s="103" t="s">
        <v>74</v>
      </c>
      <c r="B97" s="63"/>
      <c r="C97" s="63"/>
      <c r="D97" s="68">
        <f t="shared" ref="D97:P97" si="85">D42</f>
        <v>1096408.3302576242</v>
      </c>
      <c r="E97" s="68">
        <f t="shared" si="85"/>
        <v>1222264.1760376494</v>
      </c>
      <c r="F97" s="68">
        <f t="shared" si="85"/>
        <v>1278689.1458726998</v>
      </c>
      <c r="G97" s="68">
        <f t="shared" si="85"/>
        <v>1413653.6944233598</v>
      </c>
      <c r="H97" s="68">
        <f t="shared" si="85"/>
        <v>1559779.2733525913</v>
      </c>
      <c r="I97" s="68">
        <f t="shared" si="85"/>
        <v>1714483.5907006878</v>
      </c>
      <c r="J97" s="68">
        <f t="shared" si="85"/>
        <v>1891966.1933370535</v>
      </c>
      <c r="K97" s="68">
        <f t="shared" si="85"/>
        <v>2072115.4580591226</v>
      </c>
      <c r="L97" s="68">
        <f t="shared" si="85"/>
        <v>2245586.8549156864</v>
      </c>
      <c r="M97" s="68">
        <f t="shared" si="85"/>
        <v>2430816.2342475913</v>
      </c>
      <c r="N97" s="68">
        <f t="shared" si="85"/>
        <v>2624702.2084661284</v>
      </c>
      <c r="O97" s="68">
        <f t="shared" si="85"/>
        <v>2781995.3828164097</v>
      </c>
      <c r="P97" s="68">
        <f t="shared" si="85"/>
        <v>3002576.4636444123</v>
      </c>
    </row>
    <row r="99" spans="1:16" x14ac:dyDescent="0.35">
      <c r="A99" s="65" t="s">
        <v>15</v>
      </c>
    </row>
    <row r="100" spans="1:16" x14ac:dyDescent="0.35">
      <c r="A100" s="9" t="s">
        <v>36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</row>
    <row r="101" spans="1:16" x14ac:dyDescent="0.35">
      <c r="A101" s="9" t="s">
        <v>33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</row>
    <row r="102" spans="1:16" x14ac:dyDescent="0.35">
      <c r="A102" s="9" t="s">
        <v>35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</row>
    <row r="103" spans="1:16" x14ac:dyDescent="0.35">
      <c r="A103" s="9" t="s">
        <v>34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</row>
    <row r="104" spans="1:16" hidden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x14ac:dyDescent="0.35">
      <c r="A106" s="9" t="s">
        <v>40</v>
      </c>
      <c r="B106" s="7">
        <v>0</v>
      </c>
      <c r="C106" s="15">
        <f t="shared" ref="C106:P106" si="86">B106*(1+C4)</f>
        <v>0</v>
      </c>
      <c r="D106" s="15">
        <f t="shared" si="86"/>
        <v>0</v>
      </c>
      <c r="E106" s="15">
        <f t="shared" si="86"/>
        <v>0</v>
      </c>
      <c r="F106" s="15">
        <f t="shared" si="86"/>
        <v>0</v>
      </c>
      <c r="G106" s="15">
        <f t="shared" si="86"/>
        <v>0</v>
      </c>
      <c r="H106" s="15">
        <f t="shared" si="86"/>
        <v>0</v>
      </c>
      <c r="I106" s="15">
        <f t="shared" si="86"/>
        <v>0</v>
      </c>
      <c r="J106" s="15">
        <f t="shared" si="86"/>
        <v>0</v>
      </c>
      <c r="K106" s="15">
        <f t="shared" si="86"/>
        <v>0</v>
      </c>
      <c r="L106" s="15">
        <f t="shared" si="86"/>
        <v>0</v>
      </c>
      <c r="M106" s="15">
        <f t="shared" si="86"/>
        <v>0</v>
      </c>
      <c r="N106" s="15">
        <f t="shared" si="86"/>
        <v>0</v>
      </c>
      <c r="O106" s="15">
        <f t="shared" si="86"/>
        <v>0</v>
      </c>
      <c r="P106" s="15">
        <f t="shared" si="86"/>
        <v>0</v>
      </c>
    </row>
    <row r="107" spans="1:16" ht="13.5" customHeight="1" x14ac:dyDescent="0.35">
      <c r="A107" s="10"/>
      <c r="B107" s="12"/>
      <c r="C107" s="12"/>
      <c r="D107" s="12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x14ac:dyDescent="0.35">
      <c r="A108" s="9" t="s">
        <v>70</v>
      </c>
      <c r="B108" s="33"/>
      <c r="C108" s="50">
        <f t="shared" ref="C108:P108" si="87">C46*C76+C53*C81+C60*C86+C67*C91</f>
        <v>287499.92456952226</v>
      </c>
      <c r="D108" s="5">
        <f t="shared" si="87"/>
        <v>344791.40752054978</v>
      </c>
      <c r="E108" s="5">
        <f t="shared" si="87"/>
        <v>385279.59599936759</v>
      </c>
      <c r="F108" s="5">
        <f t="shared" si="87"/>
        <v>403996.23271906574</v>
      </c>
      <c r="G108" s="5">
        <f t="shared" si="87"/>
        <v>447646.12348520948</v>
      </c>
      <c r="H108" s="5">
        <f t="shared" si="87"/>
        <v>495574.40479292971</v>
      </c>
      <c r="I108" s="5">
        <f t="shared" si="87"/>
        <v>545900.97395468655</v>
      </c>
      <c r="J108" s="5">
        <f t="shared" si="87"/>
        <v>604602.7483528225</v>
      </c>
      <c r="K108" s="5">
        <f t="shared" si="87"/>
        <v>663160.1444421811</v>
      </c>
      <c r="L108" s="5">
        <f t="shared" si="87"/>
        <v>720021.79099750542</v>
      </c>
      <c r="M108" s="5">
        <f t="shared" si="87"/>
        <v>780744.53680926748</v>
      </c>
      <c r="N108" s="5">
        <f t="shared" si="87"/>
        <v>844488.68232860765</v>
      </c>
      <c r="O108" s="5">
        <f t="shared" si="87"/>
        <v>897151.48101506114</v>
      </c>
      <c r="P108" s="5">
        <f t="shared" si="87"/>
        <v>969800.16710415483</v>
      </c>
    </row>
    <row r="109" spans="1:16" x14ac:dyDescent="0.35">
      <c r="A109" s="9" t="s">
        <v>71</v>
      </c>
      <c r="B109" s="33"/>
      <c r="C109" s="50">
        <f t="shared" ref="C109:P109" si="88">C47*C77+C54*C82+C61*C87+C68*C92</f>
        <v>82461.408916666667</v>
      </c>
      <c r="D109" s="5">
        <f t="shared" si="88"/>
        <v>98380.34080135751</v>
      </c>
      <c r="E109" s="5">
        <f t="shared" si="88"/>
        <v>109370.40867227716</v>
      </c>
      <c r="F109" s="5">
        <f t="shared" si="88"/>
        <v>114121.24048418355</v>
      </c>
      <c r="G109" s="5">
        <f t="shared" si="88"/>
        <v>125854.8047676736</v>
      </c>
      <c r="H109" s="5">
        <f t="shared" si="88"/>
        <v>138077.19413268624</v>
      </c>
      <c r="I109" s="5">
        <f t="shared" si="88"/>
        <v>151447.51046565274</v>
      </c>
      <c r="J109" s="5">
        <f t="shared" si="88"/>
        <v>166453.384145121</v>
      </c>
      <c r="K109" s="5">
        <f t="shared" si="88"/>
        <v>181920.73196003807</v>
      </c>
      <c r="L109" s="5">
        <f t="shared" si="88"/>
        <v>196887.16865765845</v>
      </c>
      <c r="M109" s="5">
        <f t="shared" si="88"/>
        <v>212944.52790249119</v>
      </c>
      <c r="N109" s="5">
        <f t="shared" si="88"/>
        <v>229705.4093172045</v>
      </c>
      <c r="O109" s="5">
        <f t="shared" si="88"/>
        <v>242826.91735471302</v>
      </c>
      <c r="P109" s="5">
        <f t="shared" si="88"/>
        <v>261961.45560438308</v>
      </c>
    </row>
    <row r="110" spans="1:16" x14ac:dyDescent="0.35">
      <c r="A110" s="9" t="s">
        <v>72</v>
      </c>
      <c r="B110" s="33"/>
      <c r="C110" s="50">
        <f t="shared" ref="C110:P110" si="89">C48*C78+C55*C83+C62*C88+C69*C93</f>
        <v>395089.90470749873</v>
      </c>
      <c r="D110" s="5">
        <f t="shared" si="89"/>
        <v>472658.27929976006</v>
      </c>
      <c r="E110" s="5">
        <f t="shared" si="89"/>
        <v>526864.25956094917</v>
      </c>
      <c r="F110" s="5">
        <f t="shared" si="89"/>
        <v>551101.83066043782</v>
      </c>
      <c r="G110" s="5">
        <f t="shared" si="89"/>
        <v>609145.55427225528</v>
      </c>
      <c r="H110" s="5">
        <f t="shared" si="89"/>
        <v>672686.01999647822</v>
      </c>
      <c r="I110" s="5">
        <f t="shared" si="89"/>
        <v>739152.47658703267</v>
      </c>
      <c r="J110" s="5">
        <f t="shared" si="89"/>
        <v>815383.94643125264</v>
      </c>
      <c r="K110" s="5">
        <f t="shared" si="89"/>
        <v>893117.37021830783</v>
      </c>
      <c r="L110" s="5">
        <f t="shared" si="89"/>
        <v>967290.69361350406</v>
      </c>
      <c r="M110" s="5">
        <f t="shared" si="89"/>
        <v>1046265.0283566371</v>
      </c>
      <c r="N110" s="5">
        <f t="shared" si="89"/>
        <v>1128881.0591358321</v>
      </c>
      <c r="O110" s="5">
        <f t="shared" si="89"/>
        <v>1196305.0779029955</v>
      </c>
      <c r="P110" s="5">
        <f t="shared" si="89"/>
        <v>1289980.6900063243</v>
      </c>
    </row>
    <row r="111" spans="1:16" x14ac:dyDescent="0.35">
      <c r="A111" s="9" t="s">
        <v>73</v>
      </c>
      <c r="B111" s="33"/>
      <c r="C111" s="50">
        <f t="shared" ref="C111:P111" si="90">C49*C79+C56*C84+C63*C89+C70*C94</f>
        <v>142759.93235833335</v>
      </c>
      <c r="D111" s="5">
        <f t="shared" si="90"/>
        <v>180577.61305821806</v>
      </c>
      <c r="E111" s="5">
        <f t="shared" si="90"/>
        <v>200749.93821295159</v>
      </c>
      <c r="F111" s="5">
        <f t="shared" si="90"/>
        <v>209470.1140290458</v>
      </c>
      <c r="G111" s="5">
        <f t="shared" si="90"/>
        <v>231007.04880780849</v>
      </c>
      <c r="H111" s="5">
        <f t="shared" si="90"/>
        <v>253441.29835277877</v>
      </c>
      <c r="I111" s="5">
        <f t="shared" si="90"/>
        <v>277982.58901847393</v>
      </c>
      <c r="J111" s="5">
        <f t="shared" si="90"/>
        <v>305525.93788619136</v>
      </c>
      <c r="K111" s="5">
        <f t="shared" si="90"/>
        <v>333916.32461239002</v>
      </c>
      <c r="L111" s="5">
        <f t="shared" si="90"/>
        <v>361387.28672192665</v>
      </c>
      <c r="M111" s="5">
        <f t="shared" si="90"/>
        <v>390861.4079052406</v>
      </c>
      <c r="N111" s="5">
        <f t="shared" si="90"/>
        <v>421627.28644407372</v>
      </c>
      <c r="O111" s="5">
        <f t="shared" si="90"/>
        <v>445711.98625307577</v>
      </c>
      <c r="P111" s="5">
        <f t="shared" si="90"/>
        <v>480833.87141805753</v>
      </c>
    </row>
    <row r="112" spans="1:16" x14ac:dyDescent="0.35">
      <c r="A112" s="9" t="s">
        <v>94</v>
      </c>
      <c r="B112" s="39"/>
      <c r="C112" s="69">
        <v>6828.9683656276065</v>
      </c>
      <c r="D112" s="70">
        <v>6794.5256956017574</v>
      </c>
      <c r="E112" s="70">
        <v>6759.8206852752755</v>
      </c>
      <c r="F112" s="70">
        <v>6723.8767944799893</v>
      </c>
      <c r="G112" s="70">
        <v>6686.9158847314548</v>
      </c>
      <c r="H112" s="70">
        <v>6677.6770350081042</v>
      </c>
      <c r="I112" s="70">
        <v>6638.2288365705317</v>
      </c>
      <c r="J112" s="70">
        <v>6630.6907466518041</v>
      </c>
      <c r="K112" s="70">
        <v>6586.7349893628098</v>
      </c>
      <c r="L112" s="70">
        <v>6540.5865055916747</v>
      </c>
      <c r="M112" s="70">
        <v>6490.6265683762967</v>
      </c>
      <c r="N112" s="70">
        <v>6442.0489259709311</v>
      </c>
      <c r="O112" s="71">
        <v>6407.5714645302187</v>
      </c>
      <c r="P112" s="70">
        <v>6355.2795857799656</v>
      </c>
    </row>
    <row r="113" spans="1:16" x14ac:dyDescent="0.35">
      <c r="A113" s="9" t="s">
        <v>37</v>
      </c>
      <c r="B113" s="20"/>
      <c r="C113" s="72">
        <f t="shared" ref="C113:P113" si="91">(C46+C53+C60+C67)/C112*1000/365</f>
        <v>74.020086561104563</v>
      </c>
      <c r="D113" s="73">
        <f t="shared" si="91"/>
        <v>74.783132880059682</v>
      </c>
      <c r="E113" s="73">
        <f t="shared" si="91"/>
        <v>75.553697481885891</v>
      </c>
      <c r="F113" s="73">
        <f t="shared" si="91"/>
        <v>76.331857831600658</v>
      </c>
      <c r="G113" s="73">
        <f t="shared" si="91"/>
        <v>77.117692308431174</v>
      </c>
      <c r="H113" s="73">
        <f t="shared" si="91"/>
        <v>77.93022611084443</v>
      </c>
      <c r="I113" s="73">
        <f t="shared" si="91"/>
        <v>78.730654791467629</v>
      </c>
      <c r="J113" s="73">
        <f t="shared" si="91"/>
        <v>79.426336744464464</v>
      </c>
      <c r="K113" s="73">
        <f t="shared" si="91"/>
        <v>80.243850460436633</v>
      </c>
      <c r="L113" s="73">
        <f t="shared" si="91"/>
        <v>81.069437302416247</v>
      </c>
      <c r="M113" s="73">
        <f t="shared" si="91"/>
        <v>81.903181092170726</v>
      </c>
      <c r="N113" s="73">
        <f t="shared" si="91"/>
        <v>82.745166649677429</v>
      </c>
      <c r="O113" s="73">
        <f t="shared" si="91"/>
        <v>83.600587946709339</v>
      </c>
      <c r="P113" s="73">
        <f t="shared" si="91"/>
        <v>84.458588643942321</v>
      </c>
    </row>
    <row r="114" spans="1:16" x14ac:dyDescent="0.35">
      <c r="A114" s="9" t="s">
        <v>38</v>
      </c>
      <c r="B114" s="40"/>
      <c r="C114" s="74">
        <v>7035.7326851505013</v>
      </c>
      <c r="D114" s="75">
        <v>6984.3372742156889</v>
      </c>
      <c r="E114" s="75">
        <v>6932.853229863782</v>
      </c>
      <c r="F114" s="75">
        <v>6880.2833200345394</v>
      </c>
      <c r="G114" s="75">
        <v>6826.8628874383139</v>
      </c>
      <c r="H114" s="75">
        <v>6801.3148088260605</v>
      </c>
      <c r="I114" s="75">
        <v>6745.4638819866159</v>
      </c>
      <c r="J114" s="75">
        <v>6708.4367031900047</v>
      </c>
      <c r="K114" s="75">
        <v>6658.6570982118947</v>
      </c>
      <c r="L114" s="75">
        <v>6596.7403384923509</v>
      </c>
      <c r="M114" s="75">
        <v>6531.2260844135981</v>
      </c>
      <c r="N114" s="75">
        <v>6467.355032692245</v>
      </c>
      <c r="O114" s="75">
        <v>6417.8268391755046</v>
      </c>
      <c r="P114" s="75">
        <v>6352.7509150567466</v>
      </c>
    </row>
    <row r="115" spans="1:16" x14ac:dyDescent="0.35">
      <c r="A115" s="9" t="s">
        <v>39</v>
      </c>
      <c r="B115" s="20"/>
      <c r="C115" s="72">
        <f t="shared" ref="C115:P115" si="92">(C48+C55+C62+C69)/C114*1000/365</f>
        <v>74.061601096048449</v>
      </c>
      <c r="D115" s="73">
        <f t="shared" si="92"/>
        <v>74.811128727447468</v>
      </c>
      <c r="E115" s="73">
        <f t="shared" si="92"/>
        <v>75.568061839091641</v>
      </c>
      <c r="F115" s="73">
        <f t="shared" si="92"/>
        <v>76.332474952431795</v>
      </c>
      <c r="G115" s="73">
        <f t="shared" si="92"/>
        <v>77.104443447163689</v>
      </c>
      <c r="H115" s="73">
        <f t="shared" si="92"/>
        <v>77.902765197100408</v>
      </c>
      <c r="I115" s="73">
        <f t="shared" si="92"/>
        <v>78.689026374523721</v>
      </c>
      <c r="J115" s="73">
        <f t="shared" si="92"/>
        <v>79.41500746897114</v>
      </c>
      <c r="K115" s="73">
        <f t="shared" si="92"/>
        <v>80.185081301265171</v>
      </c>
      <c r="L115" s="73">
        <f t="shared" si="92"/>
        <v>80.995867933905259</v>
      </c>
      <c r="M115" s="73">
        <f t="shared" si="92"/>
        <v>81.814693560850159</v>
      </c>
      <c r="N115" s="73">
        <f t="shared" si="92"/>
        <v>82.64164005496248</v>
      </c>
      <c r="O115" s="73">
        <f t="shared" si="92"/>
        <v>83.482223119077915</v>
      </c>
      <c r="P115" s="73">
        <f t="shared" si="92"/>
        <v>84.2984419144463</v>
      </c>
    </row>
    <row r="116" spans="1:16" x14ac:dyDescent="0.35">
      <c r="A116" s="9" t="s">
        <v>26</v>
      </c>
      <c r="B116" s="28"/>
      <c r="C116" s="51">
        <f>951.3*(1+C4)</f>
        <v>1042.2442799999999</v>
      </c>
      <c r="D116" s="5">
        <f t="shared" ref="D116:P116" si="93">C116*(1+D4)</f>
        <v>1090.5001901639998</v>
      </c>
      <c r="E116" s="5">
        <f t="shared" si="93"/>
        <v>1117.6536448990832</v>
      </c>
      <c r="F116" s="5">
        <f t="shared" si="93"/>
        <v>1137.1008183203273</v>
      </c>
      <c r="G116" s="5">
        <f t="shared" si="93"/>
        <v>1158.8194439502454</v>
      </c>
      <c r="H116" s="5">
        <f t="shared" si="93"/>
        <v>1181.9958328292503</v>
      </c>
      <c r="I116" s="5">
        <f t="shared" si="93"/>
        <v>1205.6357494858353</v>
      </c>
      <c r="J116" s="5">
        <f t="shared" si="93"/>
        <v>1229.7484644755521</v>
      </c>
      <c r="K116" s="5">
        <f t="shared" si="93"/>
        <v>1254.3434337650631</v>
      </c>
      <c r="L116" s="5">
        <f t="shared" si="93"/>
        <v>1279.4303024403644</v>
      </c>
      <c r="M116" s="5">
        <f t="shared" si="93"/>
        <v>1305.0189084891717</v>
      </c>
      <c r="N116" s="5">
        <f t="shared" si="93"/>
        <v>1331.1192866589552</v>
      </c>
      <c r="O116" s="5">
        <f t="shared" si="93"/>
        <v>1357.7416723921342</v>
      </c>
      <c r="P116" s="5">
        <f t="shared" si="93"/>
        <v>1384.896505839977</v>
      </c>
    </row>
    <row r="117" spans="1:16" x14ac:dyDescent="0.35">
      <c r="A117" s="9" t="s">
        <v>43</v>
      </c>
      <c r="B117" s="19"/>
      <c r="C117" s="76">
        <f t="shared" ref="C117:P117" si="94">C108/(C46+C53+C60+C67)</f>
        <v>1.5582609273710197</v>
      </c>
      <c r="D117" s="77">
        <f t="shared" si="94"/>
        <v>1.8590915179669147</v>
      </c>
      <c r="E117" s="77">
        <f t="shared" si="94"/>
        <v>2.0667704652725627</v>
      </c>
      <c r="F117" s="77">
        <f t="shared" si="94"/>
        <v>2.1565467192369883</v>
      </c>
      <c r="G117" s="77">
        <f t="shared" si="94"/>
        <v>2.3782750409674218</v>
      </c>
      <c r="H117" s="77">
        <f t="shared" si="94"/>
        <v>2.609063544653305</v>
      </c>
      <c r="I117" s="77">
        <f t="shared" si="94"/>
        <v>2.8617053913411632</v>
      </c>
      <c r="J117" s="77">
        <f t="shared" si="94"/>
        <v>3.1452411340225197</v>
      </c>
      <c r="K117" s="77">
        <f t="shared" si="94"/>
        <v>3.437507090926784</v>
      </c>
      <c r="L117" s="77">
        <f t="shared" si="94"/>
        <v>3.7203082320624006</v>
      </c>
      <c r="M117" s="77">
        <f t="shared" si="94"/>
        <v>4.023728752831583</v>
      </c>
      <c r="N117" s="77">
        <f t="shared" si="94"/>
        <v>4.3404455786232061</v>
      </c>
      <c r="O117" s="77">
        <f t="shared" si="94"/>
        <v>4.5884935288523803</v>
      </c>
      <c r="P117" s="77">
        <f t="shared" si="94"/>
        <v>4.9500650854622643</v>
      </c>
    </row>
    <row r="118" spans="1:16" x14ac:dyDescent="0.35">
      <c r="A118" s="9" t="s">
        <v>44</v>
      </c>
      <c r="B118" s="19"/>
      <c r="C118" s="76">
        <f t="shared" ref="C118:P118" si="95">C110/(C48+C55+C62+C69)</f>
        <v>2.0773067924383017</v>
      </c>
      <c r="D118" s="77">
        <f t="shared" si="95"/>
        <v>2.4783520303545199</v>
      </c>
      <c r="E118" s="77">
        <f t="shared" si="95"/>
        <v>2.755215572698102</v>
      </c>
      <c r="F118" s="77">
        <f t="shared" si="95"/>
        <v>2.8749038411112933</v>
      </c>
      <c r="G118" s="77">
        <f t="shared" si="95"/>
        <v>3.1704990495881242</v>
      </c>
      <c r="H118" s="77">
        <f t="shared" si="95"/>
        <v>3.4783540631990304</v>
      </c>
      <c r="I118" s="77">
        <f t="shared" si="95"/>
        <v>3.8151812837653947</v>
      </c>
      <c r="J118" s="77">
        <f t="shared" si="95"/>
        <v>4.1931981424177494</v>
      </c>
      <c r="K118" s="77">
        <f t="shared" si="95"/>
        <v>4.5828479364312491</v>
      </c>
      <c r="L118" s="77">
        <f t="shared" si="95"/>
        <v>4.9598882508728979</v>
      </c>
      <c r="M118" s="77">
        <f t="shared" si="95"/>
        <v>5.3644205696359775</v>
      </c>
      <c r="N118" s="77">
        <f t="shared" si="95"/>
        <v>5.7866829985239896</v>
      </c>
      <c r="O118" s="77">
        <f t="shared" si="95"/>
        <v>6.1174028467065096</v>
      </c>
      <c r="P118" s="77">
        <f t="shared" si="95"/>
        <v>6.5994686445077093</v>
      </c>
    </row>
    <row r="119" spans="1:16" x14ac:dyDescent="0.35">
      <c r="A119" s="9" t="s">
        <v>27</v>
      </c>
      <c r="B119" s="21"/>
      <c r="C119" s="78">
        <f t="shared" ref="C119" si="96">((C117*1.2*C113+C118*1.2*C115)*365/12/1000)</f>
        <v>9.8254815646730584</v>
      </c>
      <c r="D119" s="79">
        <f>((D117*1.22*D113+D118*1.22*D115)*365/12/1000)</f>
        <v>12.039316371319728</v>
      </c>
      <c r="E119" s="79">
        <f t="shared" ref="E119:P119" si="97">((E117*1.22*E113+E118*1.22*E115)*365/12/1000)</f>
        <v>13.520734862743826</v>
      </c>
      <c r="F119" s="79">
        <f t="shared" si="97"/>
        <v>14.251891180651786</v>
      </c>
      <c r="G119" s="79">
        <f t="shared" si="97"/>
        <v>15.877418177734928</v>
      </c>
      <c r="H119" s="79">
        <f t="shared" si="97"/>
        <v>17.600419854831131</v>
      </c>
      <c r="I119" s="79">
        <f t="shared" si="97"/>
        <v>19.501054068861347</v>
      </c>
      <c r="J119" s="79">
        <f t="shared" si="97"/>
        <v>21.627398800024309</v>
      </c>
      <c r="K119" s="79">
        <f t="shared" si="97"/>
        <v>23.872341496326463</v>
      </c>
      <c r="L119" s="79">
        <f t="shared" si="97"/>
        <v>26.099543191323033</v>
      </c>
      <c r="M119" s="79">
        <f t="shared" si="97"/>
        <v>28.515698726629171</v>
      </c>
      <c r="N119" s="79">
        <f t="shared" si="97"/>
        <v>31.073474335395691</v>
      </c>
      <c r="O119" s="79">
        <f t="shared" si="97"/>
        <v>33.185802382078627</v>
      </c>
      <c r="P119" s="79">
        <f t="shared" si="97"/>
        <v>36.158376142460511</v>
      </c>
    </row>
    <row r="120" spans="1:16" x14ac:dyDescent="0.35">
      <c r="A120" s="9" t="s">
        <v>28</v>
      </c>
      <c r="B120" s="22"/>
      <c r="C120" s="80">
        <f t="shared" ref="C120:P120" si="98">C119/C116</f>
        <v>9.427234817420211E-3</v>
      </c>
      <c r="D120" s="81">
        <f t="shared" si="98"/>
        <v>1.104017814935836E-2</v>
      </c>
      <c r="E120" s="81">
        <f t="shared" si="98"/>
        <v>1.209742832625456E-2</v>
      </c>
      <c r="F120" s="81">
        <f t="shared" si="98"/>
        <v>1.2533533483604399E-2</v>
      </c>
      <c r="G120" s="81">
        <f t="shared" si="98"/>
        <v>1.3701373635577895E-2</v>
      </c>
      <c r="H120" s="81">
        <f t="shared" si="98"/>
        <v>1.4890424624173499E-2</v>
      </c>
      <c r="I120" s="81">
        <f t="shared" si="98"/>
        <v>1.6174913589927901E-2</v>
      </c>
      <c r="J120" s="81">
        <f t="shared" si="98"/>
        <v>1.758684757475806E-2</v>
      </c>
      <c r="K120" s="81">
        <f t="shared" si="98"/>
        <v>1.9031742705959524E-2</v>
      </c>
      <c r="L120" s="81">
        <f t="shared" si="98"/>
        <v>2.0399347382613335E-2</v>
      </c>
      <c r="M120" s="81">
        <f t="shared" si="98"/>
        <v>2.1850793533437739E-2</v>
      </c>
      <c r="N120" s="81">
        <f t="shared" si="98"/>
        <v>2.3343869063296802E-2</v>
      </c>
      <c r="O120" s="81">
        <f t="shared" si="98"/>
        <v>2.444191193131039E-2</v>
      </c>
      <c r="P120" s="81">
        <f t="shared" si="98"/>
        <v>2.6109081790577183E-2</v>
      </c>
    </row>
    <row r="121" spans="1:16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x14ac:dyDescent="0.35">
      <c r="A122" s="9" t="s">
        <v>22</v>
      </c>
      <c r="B122" s="17"/>
      <c r="C122" s="17"/>
      <c r="D122" s="17">
        <f t="shared" ref="D122:P122" si="99">D108+D109+D110+D111+D100+D101+D102+D103+D106</f>
        <v>1096407.6406798854</v>
      </c>
      <c r="E122" s="17">
        <f t="shared" si="99"/>
        <v>1222264.2024455455</v>
      </c>
      <c r="F122" s="17">
        <f t="shared" si="99"/>
        <v>1278689.4178927327</v>
      </c>
      <c r="G122" s="17">
        <f t="shared" si="99"/>
        <v>1413653.5313329466</v>
      </c>
      <c r="H122" s="17">
        <f t="shared" si="99"/>
        <v>1559778.9172748728</v>
      </c>
      <c r="I122" s="17">
        <f t="shared" si="99"/>
        <v>1714483.5500258459</v>
      </c>
      <c r="J122" s="17">
        <f t="shared" si="99"/>
        <v>1891966.0168153874</v>
      </c>
      <c r="K122" s="17">
        <f t="shared" si="99"/>
        <v>2072114.571232917</v>
      </c>
      <c r="L122" s="17">
        <f t="shared" si="99"/>
        <v>2245586.9399905945</v>
      </c>
      <c r="M122" s="17">
        <f t="shared" si="99"/>
        <v>2430815.5009736363</v>
      </c>
      <c r="N122" s="17">
        <f t="shared" si="99"/>
        <v>2624702.4372257181</v>
      </c>
      <c r="O122" s="17">
        <f t="shared" si="99"/>
        <v>2781995.4625258455</v>
      </c>
      <c r="P122" s="17">
        <f t="shared" si="99"/>
        <v>3002576.1841329196</v>
      </c>
    </row>
    <row r="123" spans="1:16" x14ac:dyDescent="0.35">
      <c r="A123" s="10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spans="1:16" x14ac:dyDescent="0.35">
      <c r="A124" s="9" t="s">
        <v>78</v>
      </c>
      <c r="B124" s="4"/>
      <c r="C124" s="4"/>
      <c r="D124" s="18">
        <v>2024</v>
      </c>
      <c r="E124" s="18">
        <f t="shared" ref="E124" si="100">D124+1</f>
        <v>2025</v>
      </c>
      <c r="F124" s="18">
        <f t="shared" ref="F124" si="101">E124+1</f>
        <v>2026</v>
      </c>
      <c r="G124" s="18">
        <f t="shared" ref="G124" si="102">F124+1</f>
        <v>2027</v>
      </c>
      <c r="H124" s="18">
        <f t="shared" ref="H124" si="103">G124+1</f>
        <v>2028</v>
      </c>
      <c r="I124" s="18">
        <f t="shared" ref="I124" si="104">H124+1</f>
        <v>2029</v>
      </c>
      <c r="J124" s="18">
        <f t="shared" ref="J124" si="105">I124+1</f>
        <v>2030</v>
      </c>
      <c r="K124" s="18">
        <f t="shared" ref="K124" si="106">J124+1</f>
        <v>2031</v>
      </c>
      <c r="L124" s="18">
        <f t="shared" ref="L124" si="107">K124+1</f>
        <v>2032</v>
      </c>
      <c r="M124" s="18">
        <f t="shared" ref="M124" si="108">L124+1</f>
        <v>2033</v>
      </c>
      <c r="N124" s="18">
        <f t="shared" ref="N124" si="109">M124+1</f>
        <v>2034</v>
      </c>
      <c r="O124" s="18">
        <f t="shared" ref="O124" si="110">N124+1</f>
        <v>2035</v>
      </c>
      <c r="P124" s="18">
        <f t="shared" ref="P124" si="111">O124+1</f>
        <v>2036</v>
      </c>
    </row>
    <row r="125" spans="1:16" x14ac:dyDescent="0.35">
      <c r="A125" s="6" t="s">
        <v>14</v>
      </c>
      <c r="B125" s="5"/>
      <c r="C125" s="5"/>
      <c r="D125" s="5">
        <f t="shared" ref="D125:P125" si="112">D122</f>
        <v>1096407.6406798854</v>
      </c>
      <c r="E125" s="5">
        <f t="shared" si="112"/>
        <v>1222264.2024455455</v>
      </c>
      <c r="F125" s="5">
        <f t="shared" si="112"/>
        <v>1278689.4178927327</v>
      </c>
      <c r="G125" s="5">
        <f t="shared" si="112"/>
        <v>1413653.5313329466</v>
      </c>
      <c r="H125" s="5">
        <f t="shared" si="112"/>
        <v>1559778.9172748728</v>
      </c>
      <c r="I125" s="5">
        <f t="shared" si="112"/>
        <v>1714483.5500258459</v>
      </c>
      <c r="J125" s="5">
        <f t="shared" si="112"/>
        <v>1891966.0168153874</v>
      </c>
      <c r="K125" s="5">
        <f t="shared" si="112"/>
        <v>2072114.571232917</v>
      </c>
      <c r="L125" s="5">
        <f t="shared" si="112"/>
        <v>2245586.9399905945</v>
      </c>
      <c r="M125" s="5">
        <f t="shared" si="112"/>
        <v>2430815.5009736363</v>
      </c>
      <c r="N125" s="5">
        <f t="shared" si="112"/>
        <v>2624702.4372257181</v>
      </c>
      <c r="O125" s="5">
        <f t="shared" si="112"/>
        <v>2781995.4625258455</v>
      </c>
      <c r="P125" s="5">
        <f t="shared" si="112"/>
        <v>3002576.1841329196</v>
      </c>
    </row>
    <row r="126" spans="1:16" x14ac:dyDescent="0.35">
      <c r="A126" s="6" t="s">
        <v>32</v>
      </c>
      <c r="B126" s="5"/>
      <c r="C126" s="5"/>
      <c r="D126" s="5">
        <f t="shared" ref="D126:P126" si="113">D36</f>
        <v>677022.88748214056</v>
      </c>
      <c r="E126" s="5">
        <f t="shared" si="113"/>
        <v>693504.6853996797</v>
      </c>
      <c r="F126" s="5">
        <f t="shared" si="113"/>
        <v>681268.17411382124</v>
      </c>
      <c r="G126" s="5">
        <f t="shared" si="113"/>
        <v>695197.88810785825</v>
      </c>
      <c r="H126" s="5">
        <f t="shared" si="113"/>
        <v>702923.18353624991</v>
      </c>
      <c r="I126" s="5">
        <f t="shared" si="113"/>
        <v>717812.17119634093</v>
      </c>
      <c r="J126" s="5">
        <f t="shared" si="113"/>
        <v>733753.83111959742</v>
      </c>
      <c r="K126" s="5">
        <f t="shared" si="113"/>
        <v>749284.6127154642</v>
      </c>
      <c r="L126" s="5">
        <f t="shared" si="113"/>
        <v>764214.54467292235</v>
      </c>
      <c r="M126" s="5">
        <f t="shared" si="113"/>
        <v>778740.83112763113</v>
      </c>
      <c r="N126" s="5">
        <f t="shared" si="113"/>
        <v>794762.28648021992</v>
      </c>
      <c r="O126" s="5">
        <f t="shared" si="113"/>
        <v>811614.8362312743</v>
      </c>
      <c r="P126" s="5">
        <f t="shared" si="113"/>
        <v>828096.98581807618</v>
      </c>
    </row>
    <row r="127" spans="1:16" x14ac:dyDescent="0.35">
      <c r="A127" s="6" t="s">
        <v>77</v>
      </c>
      <c r="B127" s="5"/>
      <c r="C127" s="5"/>
      <c r="D127" s="5">
        <f t="shared" ref="D127:P127" si="114">D125-D126</f>
        <v>419384.75319774484</v>
      </c>
      <c r="E127" s="5">
        <f t="shared" si="114"/>
        <v>528759.51704586577</v>
      </c>
      <c r="F127" s="5">
        <f t="shared" si="114"/>
        <v>597421.24377891142</v>
      </c>
      <c r="G127" s="5">
        <f t="shared" si="114"/>
        <v>718455.64322508837</v>
      </c>
      <c r="H127" s="5">
        <f t="shared" si="114"/>
        <v>856855.73373862286</v>
      </c>
      <c r="I127" s="5">
        <f t="shared" si="114"/>
        <v>996671.37882950495</v>
      </c>
      <c r="J127" s="5">
        <f t="shared" si="114"/>
        <v>1158212.18569579</v>
      </c>
      <c r="K127" s="5">
        <f t="shared" si="114"/>
        <v>1322829.9585174527</v>
      </c>
      <c r="L127" s="5">
        <f t="shared" si="114"/>
        <v>1481372.3953176723</v>
      </c>
      <c r="M127" s="5">
        <f t="shared" si="114"/>
        <v>1652074.6698460053</v>
      </c>
      <c r="N127" s="5">
        <f t="shared" si="114"/>
        <v>1829940.150745498</v>
      </c>
      <c r="O127" s="5">
        <f t="shared" si="114"/>
        <v>1970380.6262945712</v>
      </c>
      <c r="P127" s="5">
        <f t="shared" si="114"/>
        <v>2174479.1983148437</v>
      </c>
    </row>
    <row r="128" spans="1:16" x14ac:dyDescent="0.35">
      <c r="A128" s="6" t="s">
        <v>21</v>
      </c>
      <c r="B128" s="5"/>
      <c r="C128" s="5"/>
      <c r="D128" s="5">
        <v>27757.731844999998</v>
      </c>
      <c r="E128" s="5">
        <v>78888.134925999999</v>
      </c>
      <c r="F128" s="5">
        <v>140003.55385044799</v>
      </c>
      <c r="G128" s="5">
        <v>224050.87005834922</v>
      </c>
      <c r="H128" s="5">
        <v>285289.16155468463</v>
      </c>
      <c r="I128" s="5">
        <v>327272.22241867089</v>
      </c>
      <c r="J128" s="5">
        <v>358238.85053300101</v>
      </c>
      <c r="K128" s="5">
        <v>379876.33812076843</v>
      </c>
      <c r="L128" s="5">
        <v>393698.52008105209</v>
      </c>
      <c r="M128" s="5">
        <v>411036.21965423576</v>
      </c>
      <c r="N128" s="5">
        <v>417682.57901759987</v>
      </c>
      <c r="O128" s="5">
        <v>443794.39349283301</v>
      </c>
      <c r="P128" s="5">
        <v>443073.21644726512</v>
      </c>
    </row>
    <row r="129" spans="1:16" x14ac:dyDescent="0.35">
      <c r="A129" s="9" t="s">
        <v>24</v>
      </c>
      <c r="B129" s="13"/>
      <c r="C129" s="13"/>
      <c r="D129" s="13">
        <f t="shared" ref="D129" si="115">D127/D128</f>
        <v>15.10875440182223</v>
      </c>
      <c r="E129" s="13">
        <f>E127/E128</f>
        <v>6.702649486413411</v>
      </c>
      <c r="F129" s="13">
        <f t="shared" ref="F129:P129" si="116">F127/F128</f>
        <v>4.2671862774074842</v>
      </c>
      <c r="G129" s="13">
        <f t="shared" si="116"/>
        <v>3.2066630361131025</v>
      </c>
      <c r="H129" s="13">
        <f t="shared" si="116"/>
        <v>3.0034640260049961</v>
      </c>
      <c r="I129" s="13">
        <f t="shared" si="116"/>
        <v>3.0453894664927872</v>
      </c>
      <c r="J129" s="13">
        <f t="shared" si="116"/>
        <v>3.2330725268143281</v>
      </c>
      <c r="K129" s="13">
        <f t="shared" si="116"/>
        <v>3.4822646892444906</v>
      </c>
      <c r="L129" s="13">
        <f t="shared" si="116"/>
        <v>3.7627075535175925</v>
      </c>
      <c r="M129" s="13">
        <f t="shared" si="116"/>
        <v>4.0192921957965959</v>
      </c>
      <c r="N129" s="13">
        <f t="shared" si="116"/>
        <v>4.3811742281652357</v>
      </c>
      <c r="O129" s="13">
        <f t="shared" si="116"/>
        <v>4.4398501990683474</v>
      </c>
      <c r="P129" s="13">
        <f t="shared" si="116"/>
        <v>4.9077198024982662</v>
      </c>
    </row>
    <row r="130" spans="1:16" x14ac:dyDescent="0.35">
      <c r="A130" s="10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spans="1:16" ht="0.75" hidden="1" customHeight="1" x14ac:dyDescent="0.35">
      <c r="A131" s="10" t="s">
        <v>13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idden="1" x14ac:dyDescent="0.35">
      <c r="A132" s="6" t="s">
        <v>14</v>
      </c>
      <c r="B132" s="5">
        <f t="shared" ref="B132:P132" si="117">B122</f>
        <v>0</v>
      </c>
      <c r="C132" s="5">
        <f t="shared" si="117"/>
        <v>0</v>
      </c>
      <c r="D132" s="5">
        <f t="shared" si="117"/>
        <v>1096407.6406798854</v>
      </c>
      <c r="E132" s="5">
        <f t="shared" si="117"/>
        <v>1222264.2024455455</v>
      </c>
      <c r="F132" s="5">
        <f t="shared" si="117"/>
        <v>1278689.4178927327</v>
      </c>
      <c r="G132" s="5">
        <f t="shared" si="117"/>
        <v>1413653.5313329466</v>
      </c>
      <c r="H132" s="5">
        <f t="shared" si="117"/>
        <v>1559778.9172748728</v>
      </c>
      <c r="I132" s="5">
        <f t="shared" si="117"/>
        <v>1714483.5500258459</v>
      </c>
      <c r="J132" s="5">
        <f t="shared" si="117"/>
        <v>1891966.0168153874</v>
      </c>
      <c r="K132" s="5">
        <f t="shared" si="117"/>
        <v>2072114.571232917</v>
      </c>
      <c r="L132" s="5">
        <f t="shared" si="117"/>
        <v>2245586.9399905945</v>
      </c>
      <c r="M132" s="5">
        <f t="shared" si="117"/>
        <v>2430815.5009736363</v>
      </c>
      <c r="N132" s="5">
        <f t="shared" si="117"/>
        <v>2624702.4372257181</v>
      </c>
      <c r="O132" s="5">
        <f t="shared" si="117"/>
        <v>2781995.4625258455</v>
      </c>
      <c r="P132" s="5">
        <f t="shared" si="117"/>
        <v>3002576.1841329196</v>
      </c>
    </row>
    <row r="133" spans="1:16" hidden="1" x14ac:dyDescent="0.35">
      <c r="A133" s="6" t="s">
        <v>32</v>
      </c>
      <c r="B133" s="5">
        <f t="shared" ref="B133:P133" si="118">B36</f>
        <v>759415.96859999979</v>
      </c>
      <c r="C133" s="5">
        <f t="shared" si="118"/>
        <v>864135.74216911104</v>
      </c>
      <c r="D133" s="5">
        <f t="shared" si="118"/>
        <v>677022.88748214056</v>
      </c>
      <c r="E133" s="5">
        <f t="shared" si="118"/>
        <v>693504.6853996797</v>
      </c>
      <c r="F133" s="5">
        <f t="shared" si="118"/>
        <v>681268.17411382124</v>
      </c>
      <c r="G133" s="5">
        <f t="shared" si="118"/>
        <v>695197.88810785825</v>
      </c>
      <c r="H133" s="5">
        <f t="shared" si="118"/>
        <v>702923.18353624991</v>
      </c>
      <c r="I133" s="5">
        <f t="shared" si="118"/>
        <v>717812.17119634093</v>
      </c>
      <c r="J133" s="5">
        <f t="shared" si="118"/>
        <v>733753.83111959742</v>
      </c>
      <c r="K133" s="5">
        <f t="shared" si="118"/>
        <v>749284.6127154642</v>
      </c>
      <c r="L133" s="5">
        <f t="shared" si="118"/>
        <v>764214.54467292235</v>
      </c>
      <c r="M133" s="5">
        <f t="shared" si="118"/>
        <v>778740.83112763113</v>
      </c>
      <c r="N133" s="5">
        <f t="shared" si="118"/>
        <v>794762.28648021992</v>
      </c>
      <c r="O133" s="5">
        <f t="shared" si="118"/>
        <v>811614.8362312743</v>
      </c>
      <c r="P133" s="5">
        <f t="shared" si="118"/>
        <v>828096.98581807618</v>
      </c>
    </row>
    <row r="134" spans="1:16" hidden="1" x14ac:dyDescent="0.35">
      <c r="A134" s="6" t="s">
        <v>23</v>
      </c>
      <c r="B134" s="5">
        <f>B132-B133</f>
        <v>-759415.96859999979</v>
      </c>
      <c r="C134" s="5">
        <f t="shared" ref="C134:P134" si="119">C132-C133</f>
        <v>-864135.74216911104</v>
      </c>
      <c r="D134" s="5">
        <f t="shared" si="119"/>
        <v>419384.75319774484</v>
      </c>
      <c r="E134" s="5">
        <f t="shared" si="119"/>
        <v>528759.51704586577</v>
      </c>
      <c r="F134" s="5">
        <f t="shared" si="119"/>
        <v>597421.24377891142</v>
      </c>
      <c r="G134" s="5">
        <f t="shared" si="119"/>
        <v>718455.64322508837</v>
      </c>
      <c r="H134" s="5">
        <f t="shared" si="119"/>
        <v>856855.73373862286</v>
      </c>
      <c r="I134" s="5">
        <f t="shared" si="119"/>
        <v>996671.37882950495</v>
      </c>
      <c r="J134" s="5">
        <f t="shared" si="119"/>
        <v>1158212.18569579</v>
      </c>
      <c r="K134" s="5">
        <f t="shared" si="119"/>
        <v>1322829.9585174527</v>
      </c>
      <c r="L134" s="5">
        <f t="shared" si="119"/>
        <v>1481372.3953176723</v>
      </c>
      <c r="M134" s="5">
        <f t="shared" si="119"/>
        <v>1652074.6698460053</v>
      </c>
      <c r="N134" s="5">
        <f t="shared" si="119"/>
        <v>1829940.150745498</v>
      </c>
      <c r="O134" s="5">
        <f t="shared" si="119"/>
        <v>1970380.6262945712</v>
      </c>
      <c r="P134" s="5">
        <f t="shared" si="119"/>
        <v>2174479.1983148437</v>
      </c>
    </row>
    <row r="135" spans="1:16" hidden="1" x14ac:dyDescent="0.35">
      <c r="A135" s="6" t="s">
        <v>21</v>
      </c>
      <c r="B135" s="5" t="e">
        <f>#REF!+#REF!</f>
        <v>#REF!</v>
      </c>
      <c r="C135" s="5" t="e">
        <f>#REF!+#REF!</f>
        <v>#REF!</v>
      </c>
      <c r="D135" s="5" t="e">
        <f>#REF!+#REF!</f>
        <v>#REF!</v>
      </c>
      <c r="E135" s="5" t="e">
        <f>#REF!+#REF!</f>
        <v>#REF!</v>
      </c>
      <c r="F135" s="5" t="e">
        <f>#REF!+#REF!</f>
        <v>#REF!</v>
      </c>
      <c r="G135" s="5" t="e">
        <f>#REF!+#REF!</f>
        <v>#REF!</v>
      </c>
      <c r="H135" s="5" t="e">
        <f>#REF!+#REF!</f>
        <v>#REF!</v>
      </c>
      <c r="I135" s="5" t="e">
        <f>#REF!+#REF!</f>
        <v>#REF!</v>
      </c>
      <c r="J135" s="5" t="e">
        <f>#REF!+#REF!</f>
        <v>#REF!</v>
      </c>
      <c r="K135" s="5" t="e">
        <f>#REF!+#REF!</f>
        <v>#REF!</v>
      </c>
      <c r="L135" s="5" t="e">
        <f>#REF!+#REF!</f>
        <v>#REF!</v>
      </c>
      <c r="M135" s="5" t="e">
        <f>#REF!+#REF!</f>
        <v>#REF!</v>
      </c>
      <c r="N135" s="5" t="e">
        <f>#REF!+#REF!</f>
        <v>#REF!</v>
      </c>
      <c r="O135" s="5" t="e">
        <f>#REF!+#REF!</f>
        <v>#REF!</v>
      </c>
      <c r="P135" s="5" t="e">
        <f>#REF!+#REF!</f>
        <v>#REF!</v>
      </c>
    </row>
    <row r="136" spans="1:16" ht="15" hidden="1" customHeight="1" x14ac:dyDescent="0.35">
      <c r="A136" s="9" t="s">
        <v>24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hidden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idden="1" x14ac:dyDescent="0.35">
      <c r="A138" s="4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4"/>
      <c r="O138" s="4"/>
      <c r="P138" s="4"/>
    </row>
    <row r="139" spans="1:16" x14ac:dyDescent="0.35">
      <c r="A139" s="9" t="s">
        <v>31</v>
      </c>
      <c r="B139" s="83"/>
      <c r="C139" s="83"/>
      <c r="D139" s="18">
        <v>2024</v>
      </c>
      <c r="E139" s="18">
        <f t="shared" ref="E139" si="120">D139+1</f>
        <v>2025</v>
      </c>
      <c r="F139" s="18">
        <f t="shared" ref="F139" si="121">E139+1</f>
        <v>2026</v>
      </c>
      <c r="G139" s="18">
        <f t="shared" ref="G139" si="122">F139+1</f>
        <v>2027</v>
      </c>
      <c r="H139" s="18">
        <f t="shared" ref="H139" si="123">G139+1</f>
        <v>2028</v>
      </c>
      <c r="I139" s="18">
        <f t="shared" ref="I139" si="124">H139+1</f>
        <v>2029</v>
      </c>
      <c r="J139" s="18">
        <f t="shared" ref="J139" si="125">I139+1</f>
        <v>2030</v>
      </c>
      <c r="K139" s="18">
        <f t="shared" ref="K139" si="126">J139+1</f>
        <v>2031</v>
      </c>
      <c r="L139" s="18">
        <f t="shared" ref="L139" si="127">K139+1</f>
        <v>2032</v>
      </c>
      <c r="M139" s="18">
        <f t="shared" ref="M139" si="128">L139+1</f>
        <v>2033</v>
      </c>
      <c r="N139" s="18">
        <f t="shared" ref="N139" si="129">M139+1</f>
        <v>2034</v>
      </c>
      <c r="O139" s="18">
        <f t="shared" ref="O139" si="130">N139+1</f>
        <v>2035</v>
      </c>
      <c r="P139" s="18">
        <f t="shared" ref="P139" si="131">O139+1</f>
        <v>2036</v>
      </c>
    </row>
    <row r="140" spans="1:16" x14ac:dyDescent="0.35">
      <c r="A140" s="6" t="s">
        <v>14</v>
      </c>
      <c r="B140" s="5">
        <f t="shared" ref="B140:P140" si="132">B122</f>
        <v>0</v>
      </c>
      <c r="C140" s="5">
        <f t="shared" si="132"/>
        <v>0</v>
      </c>
      <c r="D140" s="5">
        <f t="shared" si="132"/>
        <v>1096407.6406798854</v>
      </c>
      <c r="E140" s="5">
        <f t="shared" si="132"/>
        <v>1222264.2024455455</v>
      </c>
      <c r="F140" s="5">
        <f t="shared" si="132"/>
        <v>1278689.4178927327</v>
      </c>
      <c r="G140" s="5">
        <f t="shared" si="132"/>
        <v>1413653.5313329466</v>
      </c>
      <c r="H140" s="5">
        <f t="shared" si="132"/>
        <v>1559778.9172748728</v>
      </c>
      <c r="I140" s="5">
        <f t="shared" si="132"/>
        <v>1714483.5500258459</v>
      </c>
      <c r="J140" s="5">
        <f t="shared" si="132"/>
        <v>1891966.0168153874</v>
      </c>
      <c r="K140" s="5">
        <f t="shared" si="132"/>
        <v>2072114.571232917</v>
      </c>
      <c r="L140" s="5">
        <f t="shared" si="132"/>
        <v>2245586.9399905945</v>
      </c>
      <c r="M140" s="5">
        <f t="shared" si="132"/>
        <v>2430815.5009736363</v>
      </c>
      <c r="N140" s="5">
        <f t="shared" si="132"/>
        <v>2624702.4372257181</v>
      </c>
      <c r="O140" s="5">
        <f t="shared" si="132"/>
        <v>2781995.4625258455</v>
      </c>
      <c r="P140" s="5">
        <f t="shared" si="132"/>
        <v>3002576.1841329196</v>
      </c>
    </row>
    <row r="141" spans="1:16" x14ac:dyDescent="0.35">
      <c r="A141" s="6" t="s">
        <v>25</v>
      </c>
      <c r="B141" s="5">
        <f t="shared" ref="B141:P141" si="133">B36</f>
        <v>759415.96859999979</v>
      </c>
      <c r="C141" s="5">
        <f t="shared" si="133"/>
        <v>864135.74216911104</v>
      </c>
      <c r="D141" s="5">
        <f t="shared" si="133"/>
        <v>677022.88748214056</v>
      </c>
      <c r="E141" s="5">
        <f t="shared" si="133"/>
        <v>693504.6853996797</v>
      </c>
      <c r="F141" s="5">
        <f t="shared" si="133"/>
        <v>681268.17411382124</v>
      </c>
      <c r="G141" s="5">
        <f t="shared" si="133"/>
        <v>695197.88810785825</v>
      </c>
      <c r="H141" s="5">
        <f t="shared" si="133"/>
        <v>702923.18353624991</v>
      </c>
      <c r="I141" s="5">
        <f t="shared" si="133"/>
        <v>717812.17119634093</v>
      </c>
      <c r="J141" s="5">
        <f t="shared" si="133"/>
        <v>733753.83111959742</v>
      </c>
      <c r="K141" s="5">
        <f t="shared" si="133"/>
        <v>749284.6127154642</v>
      </c>
      <c r="L141" s="5">
        <f t="shared" si="133"/>
        <v>764214.54467292235</v>
      </c>
      <c r="M141" s="5">
        <f t="shared" si="133"/>
        <v>778740.83112763113</v>
      </c>
      <c r="N141" s="5">
        <f t="shared" si="133"/>
        <v>794762.28648021992</v>
      </c>
      <c r="O141" s="5">
        <f t="shared" si="133"/>
        <v>811614.8362312743</v>
      </c>
      <c r="P141" s="5">
        <f t="shared" si="133"/>
        <v>828096.98581807618</v>
      </c>
    </row>
    <row r="142" spans="1:16" x14ac:dyDescent="0.35">
      <c r="A142" s="6" t="s">
        <v>29</v>
      </c>
      <c r="B142" s="5"/>
      <c r="C142" s="5"/>
      <c r="D142" s="5">
        <f>D38</f>
        <v>228363</v>
      </c>
      <c r="E142" s="5">
        <f t="shared" ref="E142:P142" si="134">E38</f>
        <v>299063.57983585796</v>
      </c>
      <c r="F142" s="5">
        <f t="shared" si="134"/>
        <v>337858.92976137879</v>
      </c>
      <c r="G142" s="5">
        <f t="shared" si="134"/>
        <v>418914.45999982615</v>
      </c>
      <c r="H142" s="5">
        <f t="shared" si="134"/>
        <v>545575.73062221275</v>
      </c>
      <c r="I142" s="5">
        <f t="shared" si="134"/>
        <v>685785.78192674089</v>
      </c>
      <c r="J142" s="5">
        <f t="shared" si="134"/>
        <v>843278.08340110769</v>
      </c>
      <c r="K142" s="5">
        <f t="shared" si="134"/>
        <v>1010802.7066195693</v>
      </c>
      <c r="L142" s="5">
        <f t="shared" si="134"/>
        <v>1180637.0624210197</v>
      </c>
      <c r="M142" s="5">
        <f t="shared" si="134"/>
        <v>1351568.1102437603</v>
      </c>
      <c r="N142" s="5">
        <f t="shared" si="134"/>
        <v>1544674.3099866232</v>
      </c>
      <c r="O142" s="5">
        <f t="shared" si="134"/>
        <v>1669578.053279548</v>
      </c>
      <c r="P142" s="5">
        <f t="shared" si="134"/>
        <v>1897762.9107712263</v>
      </c>
    </row>
    <row r="143" spans="1:16" x14ac:dyDescent="0.35">
      <c r="A143" s="23" t="s">
        <v>30</v>
      </c>
      <c r="B143" s="15">
        <f>B140-B141</f>
        <v>-759415.96859999979</v>
      </c>
      <c r="C143" s="15">
        <f t="shared" ref="C143:P143" si="135">C140-C141</f>
        <v>-864135.74216911104</v>
      </c>
      <c r="D143" s="15">
        <f t="shared" si="135"/>
        <v>419384.75319774484</v>
      </c>
      <c r="E143" s="15">
        <f t="shared" si="135"/>
        <v>528759.51704586577</v>
      </c>
      <c r="F143" s="15">
        <f t="shared" si="135"/>
        <v>597421.24377891142</v>
      </c>
      <c r="G143" s="15">
        <f t="shared" si="135"/>
        <v>718455.64322508837</v>
      </c>
      <c r="H143" s="15">
        <f t="shared" si="135"/>
        <v>856855.73373862286</v>
      </c>
      <c r="I143" s="15">
        <f t="shared" si="135"/>
        <v>996671.37882950495</v>
      </c>
      <c r="J143" s="15">
        <f t="shared" si="135"/>
        <v>1158212.18569579</v>
      </c>
      <c r="K143" s="15">
        <f t="shared" si="135"/>
        <v>1322829.9585174527</v>
      </c>
      <c r="L143" s="15">
        <f t="shared" si="135"/>
        <v>1481372.3953176723</v>
      </c>
      <c r="M143" s="15">
        <f t="shared" si="135"/>
        <v>1652074.6698460053</v>
      </c>
      <c r="N143" s="15">
        <f t="shared" si="135"/>
        <v>1829940.150745498</v>
      </c>
      <c r="O143" s="15">
        <f t="shared" si="135"/>
        <v>1970380.6262945712</v>
      </c>
      <c r="P143" s="15">
        <f t="shared" si="135"/>
        <v>2174479.1983148437</v>
      </c>
    </row>
    <row r="144" spans="1:16" x14ac:dyDescent="0.35">
      <c r="A144" s="27" t="s">
        <v>45</v>
      </c>
      <c r="B144" s="8">
        <f>B140-(B141+B142)</f>
        <v>-759415.96859999979</v>
      </c>
      <c r="C144" s="8">
        <f t="shared" ref="C144:P144" si="136">C140-(C141+C142)</f>
        <v>-864135.74216911104</v>
      </c>
      <c r="D144" s="5">
        <f t="shared" si="136"/>
        <v>191021.75319774484</v>
      </c>
      <c r="E144" s="5">
        <f t="shared" si="136"/>
        <v>229695.9372100078</v>
      </c>
      <c r="F144" s="5">
        <f t="shared" si="136"/>
        <v>259562.31401753263</v>
      </c>
      <c r="G144" s="5">
        <f t="shared" si="136"/>
        <v>299541.18322526221</v>
      </c>
      <c r="H144" s="5">
        <f t="shared" si="136"/>
        <v>311280.00311641023</v>
      </c>
      <c r="I144" s="5">
        <f t="shared" si="136"/>
        <v>310885.59690276394</v>
      </c>
      <c r="J144" s="5">
        <f t="shared" si="136"/>
        <v>314934.10229468229</v>
      </c>
      <c r="K144" s="5">
        <f t="shared" si="136"/>
        <v>312027.25189788337</v>
      </c>
      <c r="L144" s="5">
        <f t="shared" si="136"/>
        <v>300735.33289665263</v>
      </c>
      <c r="M144" s="5">
        <f t="shared" si="136"/>
        <v>300506.55960224476</v>
      </c>
      <c r="N144" s="5">
        <f t="shared" si="136"/>
        <v>285265.84075887501</v>
      </c>
      <c r="O144" s="5">
        <f t="shared" si="136"/>
        <v>300802.57301502302</v>
      </c>
      <c r="P144" s="5">
        <f t="shared" si="136"/>
        <v>276716.28754361719</v>
      </c>
    </row>
    <row r="146" spans="1:16" x14ac:dyDescent="0.35">
      <c r="A146" s="9" t="s">
        <v>81</v>
      </c>
      <c r="B146" s="4"/>
      <c r="C146" s="4"/>
      <c r="D146" s="18">
        <v>2024</v>
      </c>
      <c r="E146" s="18">
        <f t="shared" ref="E146" si="137">D146+1</f>
        <v>2025</v>
      </c>
      <c r="F146" s="18">
        <f t="shared" ref="F146" si="138">E146+1</f>
        <v>2026</v>
      </c>
      <c r="G146" s="18">
        <f t="shared" ref="G146" si="139">F146+1</f>
        <v>2027</v>
      </c>
      <c r="H146" s="18">
        <f t="shared" ref="H146" si="140">G146+1</f>
        <v>2028</v>
      </c>
      <c r="I146" s="18">
        <f t="shared" ref="I146" si="141">H146+1</f>
        <v>2029</v>
      </c>
      <c r="J146" s="18">
        <f t="shared" ref="J146" si="142">I146+1</f>
        <v>2030</v>
      </c>
      <c r="K146" s="18">
        <f t="shared" ref="K146" si="143">J146+1</f>
        <v>2031</v>
      </c>
      <c r="L146" s="18">
        <f t="shared" ref="L146" si="144">K146+1</f>
        <v>2032</v>
      </c>
      <c r="M146" s="18">
        <f t="shared" ref="M146" si="145">L146+1</f>
        <v>2033</v>
      </c>
      <c r="N146" s="18">
        <f t="shared" ref="N146" si="146">M146+1</f>
        <v>2034</v>
      </c>
      <c r="O146" s="18">
        <f t="shared" ref="O146" si="147">N146+1</f>
        <v>2035</v>
      </c>
      <c r="P146" s="18">
        <f t="shared" ref="P146" si="148">O146+1</f>
        <v>2036</v>
      </c>
    </row>
    <row r="147" spans="1:16" x14ac:dyDescent="0.35">
      <c r="A147" s="6" t="s">
        <v>82</v>
      </c>
      <c r="B147" s="4"/>
      <c r="C147" s="4"/>
      <c r="D147" s="34">
        <f>D122</f>
        <v>1096407.6406798854</v>
      </c>
      <c r="E147" s="34">
        <f t="shared" ref="E147:P147" si="149">E122</f>
        <v>1222264.2024455455</v>
      </c>
      <c r="F147" s="34">
        <f t="shared" si="149"/>
        <v>1278689.4178927327</v>
      </c>
      <c r="G147" s="34">
        <f t="shared" si="149"/>
        <v>1413653.5313329466</v>
      </c>
      <c r="H147" s="34">
        <f t="shared" si="149"/>
        <v>1559778.9172748728</v>
      </c>
      <c r="I147" s="34">
        <f t="shared" si="149"/>
        <v>1714483.5500258459</v>
      </c>
      <c r="J147" s="34">
        <f t="shared" si="149"/>
        <v>1891966.0168153874</v>
      </c>
      <c r="K147" s="34">
        <f t="shared" si="149"/>
        <v>2072114.571232917</v>
      </c>
      <c r="L147" s="34">
        <f t="shared" si="149"/>
        <v>2245586.9399905945</v>
      </c>
      <c r="M147" s="34">
        <f t="shared" si="149"/>
        <v>2430815.5009736363</v>
      </c>
      <c r="N147" s="34">
        <f t="shared" si="149"/>
        <v>2624702.4372257181</v>
      </c>
      <c r="O147" s="34">
        <f t="shared" si="149"/>
        <v>2781995.4625258455</v>
      </c>
      <c r="P147" s="34">
        <f t="shared" si="149"/>
        <v>3002576.1841329196</v>
      </c>
    </row>
    <row r="148" spans="1:16" x14ac:dyDescent="0.35">
      <c r="A148" s="6" t="s">
        <v>83</v>
      </c>
      <c r="B148" s="4"/>
      <c r="C148" s="4"/>
      <c r="D148" s="84">
        <v>514250</v>
      </c>
      <c r="E148" s="34">
        <v>777650.66423999984</v>
      </c>
      <c r="F148" s="34">
        <v>631323.63431694498</v>
      </c>
      <c r="G148" s="34">
        <v>804126.90787543892</v>
      </c>
      <c r="H148" s="34">
        <v>460658.5431928109</v>
      </c>
      <c r="I148" s="34">
        <v>271715.75643393397</v>
      </c>
      <c r="J148" s="34">
        <v>337743.08325636131</v>
      </c>
      <c r="K148" s="34">
        <v>262208.630324759</v>
      </c>
      <c r="L148" s="34">
        <v>163780.68919569993</v>
      </c>
      <c r="M148" s="34">
        <v>296748.1440014767</v>
      </c>
      <c r="N148" s="34">
        <v>134075.45621342547</v>
      </c>
      <c r="O148" s="34">
        <v>448709.96608974278</v>
      </c>
      <c r="P148" s="34">
        <v>0</v>
      </c>
    </row>
    <row r="149" spans="1:16" x14ac:dyDescent="0.35">
      <c r="A149" s="6" t="s">
        <v>84</v>
      </c>
      <c r="B149" s="4"/>
      <c r="C149" s="4"/>
      <c r="D149" s="34">
        <f>D36</f>
        <v>677022.88748214056</v>
      </c>
      <c r="E149" s="34">
        <f t="shared" ref="E149:P149" si="150">E36</f>
        <v>693504.6853996797</v>
      </c>
      <c r="F149" s="34">
        <f t="shared" si="150"/>
        <v>681268.17411382124</v>
      </c>
      <c r="G149" s="34">
        <f t="shared" si="150"/>
        <v>695197.88810785825</v>
      </c>
      <c r="H149" s="34">
        <f t="shared" si="150"/>
        <v>702923.18353624991</v>
      </c>
      <c r="I149" s="34">
        <f t="shared" si="150"/>
        <v>717812.17119634093</v>
      </c>
      <c r="J149" s="34">
        <f t="shared" si="150"/>
        <v>733753.83111959742</v>
      </c>
      <c r="K149" s="34">
        <f t="shared" si="150"/>
        <v>749284.6127154642</v>
      </c>
      <c r="L149" s="34">
        <f t="shared" si="150"/>
        <v>764214.54467292235</v>
      </c>
      <c r="M149" s="34">
        <f t="shared" si="150"/>
        <v>778740.83112763113</v>
      </c>
      <c r="N149" s="34">
        <f t="shared" si="150"/>
        <v>794762.28648021992</v>
      </c>
      <c r="O149" s="34">
        <f t="shared" si="150"/>
        <v>811614.8362312743</v>
      </c>
      <c r="P149" s="34">
        <f t="shared" si="150"/>
        <v>828096.98581807618</v>
      </c>
    </row>
    <row r="150" spans="1:16" x14ac:dyDescent="0.35">
      <c r="A150" s="6" t="s">
        <v>85</v>
      </c>
      <c r="B150" s="4"/>
      <c r="C150" s="4"/>
      <c r="D150" s="84">
        <v>605000</v>
      </c>
      <c r="E150" s="34">
        <v>914883.13439999986</v>
      </c>
      <c r="F150" s="34">
        <v>742733.68743170006</v>
      </c>
      <c r="G150" s="34">
        <v>946031.65632404585</v>
      </c>
      <c r="H150" s="34">
        <v>541951.22728565987</v>
      </c>
      <c r="I150" s="34">
        <v>362287.67524524528</v>
      </c>
      <c r="J150" s="34">
        <v>450324.1110084817</v>
      </c>
      <c r="K150" s="34">
        <v>349611.50709967868</v>
      </c>
      <c r="L150" s="34">
        <v>218374.25226093322</v>
      </c>
      <c r="M150" s="34">
        <v>395664.19200196891</v>
      </c>
      <c r="N150" s="34">
        <v>178767.27495123397</v>
      </c>
      <c r="O150" s="34">
        <v>598279.95478632371</v>
      </c>
      <c r="P150" s="34">
        <v>0</v>
      </c>
    </row>
    <row r="151" spans="1:16" x14ac:dyDescent="0.35">
      <c r="A151" s="6" t="s">
        <v>88</v>
      </c>
      <c r="B151" s="4"/>
      <c r="C151" s="4"/>
      <c r="D151" s="34">
        <f>D128</f>
        <v>27757.731844999998</v>
      </c>
      <c r="E151" s="34">
        <f t="shared" ref="E151:P151" si="151">E128</f>
        <v>78888.134925999999</v>
      </c>
      <c r="F151" s="34">
        <f t="shared" si="151"/>
        <v>140003.55385044799</v>
      </c>
      <c r="G151" s="34">
        <f t="shared" si="151"/>
        <v>224050.87005834922</v>
      </c>
      <c r="H151" s="34">
        <f t="shared" si="151"/>
        <v>285289.16155468463</v>
      </c>
      <c r="I151" s="34">
        <f t="shared" si="151"/>
        <v>327272.22241867089</v>
      </c>
      <c r="J151" s="34">
        <f t="shared" si="151"/>
        <v>358238.85053300101</v>
      </c>
      <c r="K151" s="34">
        <f t="shared" si="151"/>
        <v>379876.33812076843</v>
      </c>
      <c r="L151" s="34">
        <f t="shared" si="151"/>
        <v>393698.52008105209</v>
      </c>
      <c r="M151" s="34">
        <f t="shared" si="151"/>
        <v>411036.21965423576</v>
      </c>
      <c r="N151" s="34">
        <f t="shared" si="151"/>
        <v>417682.57901759987</v>
      </c>
      <c r="O151" s="34">
        <f t="shared" si="151"/>
        <v>443794.39349283301</v>
      </c>
      <c r="P151" s="34">
        <f t="shared" si="151"/>
        <v>443073.21644726512</v>
      </c>
    </row>
    <row r="152" spans="1:16" x14ac:dyDescent="0.35">
      <c r="A152" s="6" t="s">
        <v>86</v>
      </c>
      <c r="B152" s="4"/>
      <c r="C152" s="4"/>
      <c r="D152" s="34">
        <f>D147+D148-D149-D150-D151</f>
        <v>300877.02135274484</v>
      </c>
      <c r="E152" s="34">
        <f t="shared" ref="E152:P152" si="152">E147+E148-E149-E150-E151</f>
        <v>312638.91195986571</v>
      </c>
      <c r="F152" s="34">
        <f t="shared" si="152"/>
        <v>346007.63681370835</v>
      </c>
      <c r="G152" s="34">
        <f t="shared" si="152"/>
        <v>352500.02471813234</v>
      </c>
      <c r="H152" s="34">
        <f t="shared" si="152"/>
        <v>490273.8880910892</v>
      </c>
      <c r="I152" s="34">
        <f t="shared" si="152"/>
        <v>578827.23759952269</v>
      </c>
      <c r="J152" s="34">
        <f t="shared" si="152"/>
        <v>687392.30741066858</v>
      </c>
      <c r="K152" s="34">
        <f t="shared" si="152"/>
        <v>855550.74362176459</v>
      </c>
      <c r="L152" s="34">
        <f t="shared" si="152"/>
        <v>1033080.312171387</v>
      </c>
      <c r="M152" s="34">
        <f t="shared" si="152"/>
        <v>1142122.4021912771</v>
      </c>
      <c r="N152" s="34">
        <f t="shared" si="152"/>
        <v>1367565.7529900896</v>
      </c>
      <c r="O152" s="34">
        <f t="shared" si="152"/>
        <v>1377016.2441051574</v>
      </c>
      <c r="P152" s="34">
        <f t="shared" si="152"/>
        <v>1731405.9818675786</v>
      </c>
    </row>
    <row r="153" spans="1:16" x14ac:dyDescent="0.35">
      <c r="A153" s="6" t="s">
        <v>87</v>
      </c>
      <c r="B153" s="4"/>
      <c r="C153" s="4"/>
      <c r="D153" s="34">
        <f>D152</f>
        <v>300877.02135274484</v>
      </c>
      <c r="E153" s="34">
        <f>D153+D152</f>
        <v>601754.04270548967</v>
      </c>
      <c r="F153" s="34">
        <f t="shared" ref="F153:P153" si="153">E153+E152</f>
        <v>914392.95466535538</v>
      </c>
      <c r="G153" s="34">
        <f t="shared" si="153"/>
        <v>1260400.5914790637</v>
      </c>
      <c r="H153" s="34">
        <f t="shared" si="153"/>
        <v>1612900.6161971961</v>
      </c>
      <c r="I153" s="34">
        <f t="shared" si="153"/>
        <v>2103174.504288285</v>
      </c>
      <c r="J153" s="34">
        <f t="shared" si="153"/>
        <v>2682001.7418878078</v>
      </c>
      <c r="K153" s="34">
        <f t="shared" si="153"/>
        <v>3369394.0492984764</v>
      </c>
      <c r="L153" s="34">
        <f t="shared" si="153"/>
        <v>4224944.7929202411</v>
      </c>
      <c r="M153" s="34">
        <f t="shared" si="153"/>
        <v>5258025.1050916277</v>
      </c>
      <c r="N153" s="34">
        <f t="shared" si="153"/>
        <v>6400147.5072829053</v>
      </c>
      <c r="O153" s="34">
        <f t="shared" si="153"/>
        <v>7767713.2602729946</v>
      </c>
      <c r="P153" s="34">
        <f t="shared" si="153"/>
        <v>9144729.5043781511</v>
      </c>
    </row>
    <row r="155" spans="1:16" x14ac:dyDescent="0.35">
      <c r="A155" s="9" t="s">
        <v>92</v>
      </c>
      <c r="B155" s="82"/>
      <c r="C155" s="30">
        <v>2024</v>
      </c>
      <c r="D155" s="18">
        <v>2024</v>
      </c>
      <c r="E155" s="87">
        <f t="shared" ref="E155:P155" si="154">D155+1</f>
        <v>2025</v>
      </c>
      <c r="F155" s="87">
        <f t="shared" si="154"/>
        <v>2026</v>
      </c>
      <c r="G155" s="87">
        <f t="shared" si="154"/>
        <v>2027</v>
      </c>
      <c r="H155" s="87">
        <f t="shared" si="154"/>
        <v>2028</v>
      </c>
      <c r="I155" s="87">
        <f t="shared" si="154"/>
        <v>2029</v>
      </c>
      <c r="J155" s="87">
        <f t="shared" si="154"/>
        <v>2030</v>
      </c>
      <c r="K155" s="87">
        <f t="shared" si="154"/>
        <v>2031</v>
      </c>
      <c r="L155" s="87">
        <f t="shared" si="154"/>
        <v>2032</v>
      </c>
      <c r="M155" s="87">
        <f t="shared" si="154"/>
        <v>2033</v>
      </c>
      <c r="N155" s="87">
        <f t="shared" si="154"/>
        <v>2034</v>
      </c>
      <c r="O155" s="87">
        <f t="shared" si="154"/>
        <v>2035</v>
      </c>
      <c r="P155" s="87">
        <f t="shared" si="154"/>
        <v>2036</v>
      </c>
    </row>
    <row r="156" spans="1:16" x14ac:dyDescent="0.35">
      <c r="A156" s="30" t="s">
        <v>89</v>
      </c>
      <c r="B156" s="82"/>
      <c r="C156" s="85">
        <f>C110</f>
        <v>395089.90470749873</v>
      </c>
      <c r="D156" s="34">
        <f>D150</f>
        <v>605000</v>
      </c>
      <c r="E156" s="34">
        <f t="shared" ref="E156:P156" si="155">E150</f>
        <v>914883.13439999986</v>
      </c>
      <c r="F156" s="34">
        <f t="shared" si="155"/>
        <v>742733.68743170006</v>
      </c>
      <c r="G156" s="34">
        <f t="shared" si="155"/>
        <v>946031.65632404585</v>
      </c>
      <c r="H156" s="34">
        <f t="shared" si="155"/>
        <v>541951.22728565987</v>
      </c>
      <c r="I156" s="34">
        <f t="shared" si="155"/>
        <v>362287.67524524528</v>
      </c>
      <c r="J156" s="34">
        <f t="shared" si="155"/>
        <v>450324.1110084817</v>
      </c>
      <c r="K156" s="34">
        <f t="shared" si="155"/>
        <v>349611.50709967868</v>
      </c>
      <c r="L156" s="34">
        <f t="shared" si="155"/>
        <v>218374.25226093322</v>
      </c>
      <c r="M156" s="34">
        <f t="shared" si="155"/>
        <v>395664.19200196891</v>
      </c>
      <c r="N156" s="34">
        <f t="shared" si="155"/>
        <v>178767.27495123397</v>
      </c>
      <c r="O156" s="34">
        <f t="shared" si="155"/>
        <v>598279.95478632371</v>
      </c>
      <c r="P156" s="34">
        <f t="shared" si="155"/>
        <v>0</v>
      </c>
    </row>
    <row r="157" spans="1:16" x14ac:dyDescent="0.35">
      <c r="A157" s="30" t="s">
        <v>90</v>
      </c>
      <c r="B157" s="82"/>
      <c r="C157" s="30">
        <f>C114</f>
        <v>7035.7326851505013</v>
      </c>
      <c r="D157" s="34">
        <f>D148</f>
        <v>514250</v>
      </c>
      <c r="E157" s="34">
        <f t="shared" ref="E157:P157" si="156">E148</f>
        <v>777650.66423999984</v>
      </c>
      <c r="F157" s="34">
        <f t="shared" si="156"/>
        <v>631323.63431694498</v>
      </c>
      <c r="G157" s="34">
        <f t="shared" si="156"/>
        <v>804126.90787543892</v>
      </c>
      <c r="H157" s="34">
        <f t="shared" si="156"/>
        <v>460658.5431928109</v>
      </c>
      <c r="I157" s="34">
        <f t="shared" si="156"/>
        <v>271715.75643393397</v>
      </c>
      <c r="J157" s="34">
        <f t="shared" si="156"/>
        <v>337743.08325636131</v>
      </c>
      <c r="K157" s="34">
        <f t="shared" si="156"/>
        <v>262208.630324759</v>
      </c>
      <c r="L157" s="34">
        <f t="shared" si="156"/>
        <v>163780.68919569993</v>
      </c>
      <c r="M157" s="34">
        <f t="shared" si="156"/>
        <v>296748.1440014767</v>
      </c>
      <c r="N157" s="34">
        <f t="shared" si="156"/>
        <v>134075.45621342547</v>
      </c>
      <c r="O157" s="34">
        <f t="shared" si="156"/>
        <v>448709.96608974278</v>
      </c>
      <c r="P157" s="34">
        <f t="shared" si="156"/>
        <v>0</v>
      </c>
    </row>
    <row r="158" spans="1:16" x14ac:dyDescent="0.35">
      <c r="A158" s="30" t="s">
        <v>91</v>
      </c>
      <c r="B158" s="82"/>
      <c r="C158" s="85">
        <f>C156-C157</f>
        <v>388054.17202234821</v>
      </c>
      <c r="D158" s="34">
        <f t="shared" ref="D158:O158" si="157">D156-D157</f>
        <v>90750</v>
      </c>
      <c r="E158" s="34">
        <f t="shared" si="157"/>
        <v>137232.47016000003</v>
      </c>
      <c r="F158" s="34">
        <f t="shared" si="157"/>
        <v>111410.05311475508</v>
      </c>
      <c r="G158" s="34">
        <f t="shared" si="157"/>
        <v>141904.74844860693</v>
      </c>
      <c r="H158" s="34">
        <f t="shared" si="157"/>
        <v>81292.684092848969</v>
      </c>
      <c r="I158" s="34">
        <f t="shared" si="157"/>
        <v>90571.918811311305</v>
      </c>
      <c r="J158" s="34">
        <f t="shared" si="157"/>
        <v>112581.0277521204</v>
      </c>
      <c r="K158" s="34">
        <f t="shared" si="157"/>
        <v>87402.876774919685</v>
      </c>
      <c r="L158" s="34">
        <f t="shared" si="157"/>
        <v>54593.563065233291</v>
      </c>
      <c r="M158" s="34">
        <f t="shared" si="157"/>
        <v>98916.048000492214</v>
      </c>
      <c r="N158" s="34">
        <f t="shared" si="157"/>
        <v>44691.818737808499</v>
      </c>
      <c r="O158" s="34">
        <f t="shared" si="157"/>
        <v>149569.98869658093</v>
      </c>
      <c r="P158" s="34">
        <f t="shared" ref="P158:P159" si="158">P156-P157</f>
        <v>0</v>
      </c>
    </row>
    <row r="159" spans="1:16" x14ac:dyDescent="0.35">
      <c r="A159" s="30" t="s">
        <v>93</v>
      </c>
      <c r="B159" s="82"/>
      <c r="C159" s="86">
        <f>C158/C156</f>
        <v>0.98219207172514478</v>
      </c>
      <c r="D159" s="88">
        <f t="shared" ref="D159:O159" si="159">D158/D156</f>
        <v>0.15</v>
      </c>
      <c r="E159" s="88">
        <f t="shared" si="159"/>
        <v>0.15000000000000005</v>
      </c>
      <c r="F159" s="88">
        <f t="shared" si="159"/>
        <v>0.15000000000000011</v>
      </c>
      <c r="G159" s="88">
        <f t="shared" si="159"/>
        <v>0.15000000000000005</v>
      </c>
      <c r="H159" s="88">
        <f t="shared" si="159"/>
        <v>0.14999999999999997</v>
      </c>
      <c r="I159" s="88">
        <f t="shared" si="159"/>
        <v>0.24999999999999997</v>
      </c>
      <c r="J159" s="88">
        <f t="shared" si="159"/>
        <v>0.24999999999999994</v>
      </c>
      <c r="K159" s="88">
        <f t="shared" si="159"/>
        <v>0.25000000000000006</v>
      </c>
      <c r="L159" s="88">
        <f t="shared" si="159"/>
        <v>0.24999999999999994</v>
      </c>
      <c r="M159" s="88">
        <f t="shared" si="159"/>
        <v>0.24999999999999997</v>
      </c>
      <c r="N159" s="88">
        <f t="shared" si="159"/>
        <v>0.25000000000000006</v>
      </c>
      <c r="O159" s="88">
        <f t="shared" si="159"/>
        <v>0.25</v>
      </c>
      <c r="P159" s="34">
        <f t="shared" si="158"/>
        <v>0</v>
      </c>
    </row>
  </sheetData>
  <conditionalFormatting sqref="B100:P103">
    <cfRule type="notContainsBlanks" dxfId="0" priority="1" stopIfTrue="1">
      <formula>LEN(TRIM(B100))&gt;0</formula>
    </cfRule>
  </conditionalFormatting>
  <pageMargins left="0.7" right="0.7" top="0.75" bottom="0.75" header="0.3" footer="0.3"/>
  <pageSetup paperSize="9" orientation="portrait" r:id="rId1"/>
  <ignoredErrors>
    <ignoredError sqref="I31 C77 D119 D156:D157 O86:O94" formula="1"/>
    <ignoredError sqref="D144:P14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OÜ TÜRI VESI 2024-2036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2024-02-05T14:18:15Z</dcterms:modified>
</cp:coreProperties>
</file>